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erning Rens AS (S03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11" l="1"/>
  <c r="E10" i="1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6" i="15" s="1"/>
  <c r="C37" i="39"/>
  <c r="C36" i="39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38" i="39" l="1"/>
  <c r="C21" i="23" s="1"/>
  <c r="E22" i="39"/>
  <c r="C27" i="15" s="1"/>
  <c r="E30" i="39"/>
  <c r="C22" i="22" s="1"/>
  <c r="C23" i="22" s="1"/>
  <c r="E38" i="39"/>
  <c r="C22" i="23" s="1"/>
  <c r="C23" i="23" s="1"/>
  <c r="E14" i="39"/>
  <c r="C29" i="2" s="1"/>
  <c r="C14" i="39"/>
  <c r="C28" i="2" s="1"/>
  <c r="G12" i="10"/>
  <c r="G14" i="10" s="1"/>
  <c r="C28" i="15" l="1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12" i="11" l="1"/>
  <c r="C10" i="37" s="1"/>
  <c r="C11" i="37" s="1"/>
  <c r="C12" i="37" s="1"/>
  <c r="C12" i="2" s="1"/>
  <c r="G12" i="11"/>
  <c r="E11" i="21" l="1"/>
  <c r="C11" i="21"/>
  <c r="E11" i="29"/>
  <c r="C11" i="29"/>
  <c r="C15" i="19"/>
  <c r="C16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12" i="11" l="1"/>
  <c r="E10" i="37" s="1"/>
  <c r="E11" i="37" s="1"/>
  <c r="E12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<sst xmlns="http://schemas.openxmlformats.org/spreadsheetml/2006/main" count="694" uniqueCount="276">
  <si>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</si>
  <si>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</si>
  <si>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</si>
  <si>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</si>
  <si>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</si>
  <si>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</si>
  <si>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</si>
  <si>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</si>
  <si>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</si>
  <si>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</si>
  <si>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</si>
  <si>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</si>
  <si>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</si>
  <si>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</si>
  <si>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</si>
  <si>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</si>
  <si>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</si>
  <si>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</si>
  <si>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</si>
  <si>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</si>
  <si>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</si>
  <si>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</si>
  <si>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</si>
  <si>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</si>
  <si>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</si>
  <si>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</si>
  <si>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</si>
  <si>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</si>
  <si>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</si>
  <si>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</si>
  <si>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</si>
  <si>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</si>
  <si>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</si>
  <si>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</si>
  <si>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</si>
  <si>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</si>
  <si>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</si>
  <si>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</si>
  <si>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</si>
  <si>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</si>
  <si>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</si>
  <si>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</si>
  <si>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</si>
  <si>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</si>
  <si>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</si>
  <si>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</si>
  <si>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</si>
  <si>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</si>
  <si>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</si>
  <si>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</si>
  <si>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</si>
  <si>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</si>
  <si>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</si>
  <si>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</si>
  <si>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</si>
  <si>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</si>
  <si>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</si>
  <si>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</si>
  <si>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</si>
  <si>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</si>
  <si>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</si>
  <si>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</si>
  <si>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</si>
  <si>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</si>
  <si>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</si>
  <si>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</si>
  <si>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</si>
  <si>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</si>
  <si>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</si>
  <si>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</si>
  <si>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</si>
  <si>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</si>
  <si>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</si>
  <si>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</si>
  <si>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</si>
  <si>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</si>
  <si>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</si>
  <si>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</si>
  <si>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</si>
  <si>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</si>
  <si>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</si>
  <si>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</si>
  <si>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</si>
  <si>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</si>
  <si>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</si>
  <si>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</si>
  <si>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</si>
  <si>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</si>
  <si>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</si>
  <si>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</si>
  <si>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</si>
  <si>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</si>
  <si>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</si>
  <si>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</si>
  <si>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</si>
  <si>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</si>
  <si>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</si>
  <si>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</si>
  <si>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</si>
  <si>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</si>
  <si>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</si>
  <si>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</si>
  <si>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</si>
  <si>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</si>
  <si>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</si>
  <si>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</si>
  <si>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</si>
  <si>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</si>
  <si>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</si>
  <si>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</si>
  <si>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</si>
  <si>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</si>
  <si>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</si>
  <si>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</si>
  <si>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</si>
  <si>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</si>
  <si>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</si>
  <si>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</si>
  <si>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</si>
  <si>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</si>
  <si>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</si>
  <si>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</si>
  <si>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</si>
  <si>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</si>
  <si>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</si>
  <si>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</si>
  <si>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</si>
  <si>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</si>
  <si>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</si>
  <si>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</si>
  <si>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</si>
  <si>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</si>
  <si>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</si>
  <si>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</si>
  <si>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</si>
  <si>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</si>
  <si>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</si>
  <si>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</si>
  <si>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</si>
  <si>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</si>
  <si>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</si>
  <si>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</si>
  <si>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</si>
  <si>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</si>
  <si>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</si>
  <si>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</si>
  <si>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</si>
  <si>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</si>
  <si>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</si>
  <si>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</si>
  <si>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</si>
  <si>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</si>
  <si>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</si>
  <si>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</si>
  <si>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</si>
  <si>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</si>
  <si>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</si>
  <si>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</si>
  <si>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</si>
  <si>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</si>
  <si>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</si>
  <si>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</si>
  <si>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</si>
  <si>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</si>
  <si>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</si>
  <si>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</si>
  <si>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</si>
  <si>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</si>
  <si>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</si>
  <si>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</si>
  <si>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</si>
  <si>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</si>
  <si>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</si>
  <si>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</si>
  <si>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</si>
  <si>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</si>
  <si>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</si>
  <si>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</si>
  <si>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</si>
  <si>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</si>
  <si>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</si>
  <si>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</si>
  <si>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</si>
  <si>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</si>
  <si>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</si>
  <si>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</si>
  <si>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</si>
  <si>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</si>
  <si>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</si>
  <si>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</si>
  <si>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</si>
  <si>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</si>
  <si>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</si>
  <si>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</si>
  <si>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</si>
  <si>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</si>
  <si>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</si>
  <si>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</si>
  <si>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</si>
  <si>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</si>
  <si>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</si>
  <si>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</si>
  <si>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</si>
  <si>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</si>
  <si>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</si>
  <si>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</si>
  <si>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</si>
  <si>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</si>
  <si>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</si>
  <si>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</si>
  <si>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</si>
  <si>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</si>
  <si>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</si>
  <si>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</si>
  <si>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</si>
  <si>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</si>
  <si>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</si>
  <si>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</si>
  <si>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</si>
  <si>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</si>
  <si>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</si>
  <si>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</si>
  <si>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</si>
  <si>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</si>
  <si>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</si>
  <si>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</si>
  <si>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</si>
  <si>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</si>
  <si>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</si>
  <si>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</si>
  <si>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</si>
  <si>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</si>
  <si>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</si>
  <si>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</si>
  <si>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</si>
  <si>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</si>
  <si>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</si>
  <si>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</si>
  <si>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</si>
  <si>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</si>
  <si>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</si>
  <si>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</si>
  <si>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</si>
  <si>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</si>
  <si>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</si>
  <si>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</si>
  <si>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</si>
  <si>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</si>
  <si>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</si>
  <si>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</si>
  <si>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</si>
  <si>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</si>
  <si>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</si>
  <si>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</si>
  <si>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</si>
  <si>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</si>
  <si>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</si>
  <si>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</si>
  <si>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</si>
  <si>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</si>
  <si>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</si>
  <si>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</si>
  <si>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</si>
  <si>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</si>
  <si>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</si>
  <si>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</si>
  <si>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</si>
  <si>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Beluftningstanke, Mek/EL</t>
  </si>
  <si>
    <t>Slutafvanding, slam - højteknologisk (centrifuger), Konstruktioner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</si>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</sst>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214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52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23</v>
      </c>
      <c r="D14" s="67" t="s">
        <v>54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51</v>
      </c>
      <c r="D15" s="67" t="s">
        <v>133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53</v>
      </c>
      <c r="D16" s="67" t="s">
        <v>134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255</v>
      </c>
      <c r="D17" s="67" t="s">
        <v>63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221</v>
      </c>
      <c r="D18" s="70" t="s">
        <v>176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222</v>
      </c>
      <c r="D19" s="70" t="s">
        <v>177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223</v>
      </c>
      <c r="D21" s="55" t="s">
        <v>17</v>
      </c>
      <c r="E21" s="56"/>
      <c r="F21" s="56"/>
      <c r="G21" s="57"/>
      <c r="H21" s="1"/>
      <c r="I21" s="1"/>
    </row>
    <row r="22" spans="1:9" x14ac:dyDescent="0.25">
      <c r="A22" s="1"/>
      <c r="B22" s="1"/>
      <c r="C22" s="6" t="s">
        <v>140</v>
      </c>
      <c r="D22" s="58" t="s">
        <v>173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258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224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225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226</v>
      </c>
      <c r="D27" s="58" t="s">
        <v>143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1" t="s">
        <v>11</v>
      </c>
      <c r="E30" s="62"/>
      <c r="F30" s="62"/>
      <c r="G30" s="63"/>
      <c r="H30" s="1"/>
      <c r="I30" s="1"/>
    </row>
    <row r="31" spans="1:9" x14ac:dyDescent="0.25">
      <c r="A31" s="1"/>
      <c r="B31" s="1"/>
      <c r="C31" s="6" t="s">
        <v>172</v>
      </c>
      <c r="D31" s="52" t="s">
        <v>207</v>
      </c>
      <c r="E31" s="53"/>
      <c r="F31" s="53"/>
      <c r="G31" s="5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jZwpQssp5RWGK3pZbpxNt5u9Axg1U615oJN/FCjlzENfpSNkE8PiHaymjY+c0gAQiG9lCN5yhZAKww9yZh/DJA==" saltValue="E/Nqbp6X1nOFGLjl/lQDAA==" spinCount="100000" sheet="1" objects="1" scenarios="1"/>
  <mergeCells count="22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233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66</v>
      </c>
      <c r="C8" s="76"/>
      <c r="D8" s="77"/>
      <c r="E8" s="1"/>
      <c r="F8" s="1"/>
    </row>
    <row r="9" spans="1:6" ht="15" customHeight="1" x14ac:dyDescent="0.25">
      <c r="A9" s="1"/>
      <c r="B9" s="46" t="s">
        <v>49</v>
      </c>
      <c r="C9" s="11" t="s">
        <v>67</v>
      </c>
      <c r="D9" s="11"/>
      <c r="E9" s="1"/>
      <c r="F9" s="1"/>
    </row>
    <row r="10" spans="1:6" x14ac:dyDescent="0.25">
      <c r="A10" s="1"/>
      <c r="B10" s="47" t="s">
        <v>270</v>
      </c>
      <c r="C10" s="9">
        <v>3453107.71</v>
      </c>
      <c r="D10" s="14" t="s">
        <v>3</v>
      </c>
      <c r="E10" s="1"/>
      <c r="F10" s="1"/>
    </row>
    <row r="11" spans="1:6" x14ac:dyDescent="0.25">
      <c r="A11" s="1"/>
      <c r="B11" s="47" t="s">
        <v>271</v>
      </c>
      <c r="C11" s="9">
        <v>75344</v>
      </c>
      <c r="D11" s="14" t="s">
        <v>3</v>
      </c>
      <c r="E11" s="1"/>
      <c r="F11" s="1"/>
    </row>
    <row r="12" spans="1:6" ht="26.25" x14ac:dyDescent="0.25">
      <c r="A12" s="1"/>
      <c r="B12" s="41" t="s">
        <v>272</v>
      </c>
      <c r="C12" s="9">
        <v>460596.51</v>
      </c>
      <c r="D12" s="14" t="s">
        <v>3</v>
      </c>
      <c r="E12" s="1"/>
      <c r="F12" s="1"/>
    </row>
    <row r="13" spans="1:6" x14ac:dyDescent="0.25">
      <c r="A13" s="1"/>
      <c r="B13" s="47" t="s">
        <v>273</v>
      </c>
      <c r="C13" s="9">
        <v>589117</v>
      </c>
      <c r="D13" s="14" t="s">
        <v>3</v>
      </c>
      <c r="E13" s="1"/>
      <c r="F13" s="1"/>
    </row>
    <row r="14" spans="1:6" x14ac:dyDescent="0.25">
      <c r="A14" s="1"/>
      <c r="B14" s="47" t="s">
        <v>274</v>
      </c>
      <c r="C14" s="9">
        <v>51766.35</v>
      </c>
      <c r="D14" s="14" t="s">
        <v>3</v>
      </c>
      <c r="E14" s="1"/>
      <c r="F14" s="1"/>
    </row>
    <row r="15" spans="1:6" x14ac:dyDescent="0.25">
      <c r="A15" s="1"/>
      <c r="B15" s="43" t="s">
        <v>68</v>
      </c>
      <c r="C15" s="12">
        <f>SUM(C10:C14)</f>
        <v>4629931.5699999994</v>
      </c>
      <c r="D15" s="13" t="s">
        <v>3</v>
      </c>
      <c r="E15" s="1"/>
      <c r="F15" s="1"/>
    </row>
    <row r="16" spans="1:6" x14ac:dyDescent="0.25">
      <c r="A16" s="1"/>
      <c r="B16" s="43" t="s">
        <v>69</v>
      </c>
      <c r="C16" s="12">
        <f>C15*(1+'Fane 15. Nøgletal'!C12)^2</f>
        <v>4814147.7040010011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75" t="s">
        <v>244</v>
      </c>
      <c r="C19" s="76"/>
      <c r="D19" s="77"/>
      <c r="E19" s="1"/>
      <c r="F19" s="1"/>
    </row>
    <row r="20" spans="1:6" x14ac:dyDescent="0.25">
      <c r="A20" s="1"/>
      <c r="B20" s="47" t="s">
        <v>193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47" t="s">
        <v>194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7" t="s">
        <v>195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47" t="s">
        <v>196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75"/>
      <c r="C24" s="76"/>
      <c r="D24" s="77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75" t="s">
        <v>192</v>
      </c>
      <c r="C27" s="76"/>
      <c r="D27" s="77"/>
      <c r="E27" s="1"/>
      <c r="F27" s="1"/>
    </row>
    <row r="28" spans="1:6" x14ac:dyDescent="0.25">
      <c r="A28" s="1"/>
      <c r="B28" s="47" t="s">
        <v>193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7" t="s">
        <v>194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7" t="s">
        <v>195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7" t="s">
        <v>196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75"/>
      <c r="C32" s="76"/>
      <c r="D32" s="77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2aW+LZ5uqkVQdT0gK/0S5ECMXLsezGo46PawyBqYx8f6TB0lBz1pWMWOZih9Jti08P9kIhx5ZAyV8xdz7mxEbQ==" saltValue="AIFSkH2YxaxWYRV6++iNb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232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40"/>
      <c r="C6" s="40"/>
      <c r="D6" s="40"/>
      <c r="E6" s="40"/>
      <c r="F6" s="4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179</v>
      </c>
      <c r="C8" s="76"/>
      <c r="D8" s="76"/>
      <c r="E8" s="76"/>
      <c r="F8" s="77"/>
      <c r="G8" s="1"/>
    </row>
    <row r="9" spans="1:7" x14ac:dyDescent="0.25">
      <c r="A9" s="1"/>
      <c r="B9" s="102" t="s">
        <v>180</v>
      </c>
      <c r="C9" s="103"/>
      <c r="D9" s="104"/>
      <c r="E9" s="9">
        <v>45880810.859794244</v>
      </c>
      <c r="F9" s="14" t="s">
        <v>3</v>
      </c>
      <c r="G9" s="1"/>
    </row>
    <row r="10" spans="1:7" x14ac:dyDescent="0.25">
      <c r="A10" s="1"/>
      <c r="B10" s="102" t="s">
        <v>181</v>
      </c>
      <c r="C10" s="103"/>
      <c r="D10" s="104"/>
      <c r="E10" s="9">
        <v>37568726</v>
      </c>
      <c r="F10" s="14" t="s">
        <v>3</v>
      </c>
      <c r="G10" s="1"/>
    </row>
    <row r="11" spans="1:7" x14ac:dyDescent="0.2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81" t="s">
        <v>182</v>
      </c>
      <c r="C12" s="82"/>
      <c r="D12" s="83"/>
      <c r="E12" s="10">
        <f>E9-(E10-E11)</f>
        <v>8312084.8597942442</v>
      </c>
      <c r="F12" s="17" t="s">
        <v>3</v>
      </c>
      <c r="G12" s="1"/>
    </row>
    <row r="13" spans="1:7" x14ac:dyDescent="0.25">
      <c r="A13" s="1"/>
      <c r="B13" s="43"/>
      <c r="C13" s="44"/>
      <c r="D13" s="44"/>
      <c r="E13" s="44"/>
      <c r="F13" s="22"/>
      <c r="G13" s="1"/>
    </row>
    <row r="14" spans="1:7" ht="27.75" customHeight="1" x14ac:dyDescent="0.25">
      <c r="A14" s="1"/>
      <c r="B14" s="78" t="s">
        <v>209</v>
      </c>
      <c r="C14" s="79"/>
      <c r="D14" s="79"/>
      <c r="E14" s="79"/>
      <c r="F14" s="80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75" t="s">
        <v>74</v>
      </c>
      <c r="C17" s="76"/>
      <c r="D17" s="76"/>
      <c r="E17" s="76"/>
      <c r="F17" s="77"/>
      <c r="G17" s="1"/>
    </row>
    <row r="18" spans="1:7" x14ac:dyDescent="0.25">
      <c r="A18" s="1"/>
      <c r="B18" s="102" t="s">
        <v>75</v>
      </c>
      <c r="C18" s="103"/>
      <c r="D18" s="104"/>
      <c r="E18" s="9">
        <v>45778311.227024145</v>
      </c>
      <c r="F18" s="14" t="s">
        <v>3</v>
      </c>
      <c r="G18" s="1"/>
    </row>
    <row r="19" spans="1:7" x14ac:dyDescent="0.25">
      <c r="A19" s="1"/>
      <c r="B19" s="102" t="s">
        <v>76</v>
      </c>
      <c r="C19" s="103"/>
      <c r="D19" s="104"/>
      <c r="E19" s="9">
        <v>30316585.870000001</v>
      </c>
      <c r="F19" s="14" t="s">
        <v>3</v>
      </c>
      <c r="G19" s="1"/>
    </row>
    <row r="20" spans="1:7" x14ac:dyDescent="0.2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81" t="s">
        <v>77</v>
      </c>
      <c r="C21" s="82"/>
      <c r="D21" s="83"/>
      <c r="E21" s="10">
        <f>E18-(E19-E20)</f>
        <v>15461725.357024144</v>
      </c>
      <c r="F21" s="17" t="s">
        <v>3</v>
      </c>
      <c r="G21" s="1"/>
    </row>
    <row r="22" spans="1:7" x14ac:dyDescent="0.25">
      <c r="A22" s="1"/>
      <c r="B22" s="43"/>
      <c r="C22" s="44"/>
      <c r="D22" s="44"/>
      <c r="E22" s="4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75" t="s">
        <v>201</v>
      </c>
      <c r="C25" s="76"/>
      <c r="D25" s="76"/>
      <c r="E25" s="76"/>
      <c r="F25" s="77"/>
      <c r="G25" s="1"/>
    </row>
    <row r="26" spans="1:7" x14ac:dyDescent="0.25">
      <c r="A26" s="1"/>
      <c r="B26" s="111" t="s">
        <v>171</v>
      </c>
      <c r="C26" s="112"/>
      <c r="D26" s="113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1" t="s">
        <v>200</v>
      </c>
      <c r="C27" s="112"/>
      <c r="D27" s="113"/>
      <c r="E27" s="9">
        <v>4</v>
      </c>
      <c r="F27" s="14" t="s">
        <v>28</v>
      </c>
      <c r="G27" s="1"/>
    </row>
    <row r="28" spans="1:7" x14ac:dyDescent="0.25">
      <c r="A28" s="1"/>
      <c r="B28" s="81" t="s">
        <v>210</v>
      </c>
      <c r="C28" s="82"/>
      <c r="D28" s="83"/>
      <c r="E28" s="10">
        <f>E26/E27</f>
        <v>0</v>
      </c>
      <c r="F28" s="17" t="s">
        <v>3</v>
      </c>
      <c r="G28" s="1"/>
    </row>
    <row r="29" spans="1:7" x14ac:dyDescent="0.25">
      <c r="A29" s="1"/>
      <c r="B29" s="114"/>
      <c r="C29" s="115"/>
      <c r="D29" s="115"/>
      <c r="E29" s="115"/>
      <c r="F29" s="116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/mq3EZpKipWH8Hamrhc95Cx4yMhpCg0Vf1004MqPc+lbtBcuXE6zTtVsY9Ur0muoVJdY/cbJ2ulMF+8mHfv2jw==" saltValue="nMHHaKlN9xY5OahSTeMTlQ==" spinCount="100000" sheet="1" objects="1" scenarios="1"/>
  <mergeCells count="17">
    <mergeCell ref="B25:F25"/>
    <mergeCell ref="B26:D26"/>
    <mergeCell ref="B27:D27"/>
    <mergeCell ref="B28:D28"/>
    <mergeCell ref="B29:F29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260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75" t="s">
        <v>174</v>
      </c>
      <c r="C9" s="76"/>
      <c r="D9" s="76"/>
      <c r="E9" s="76"/>
      <c r="F9" s="76"/>
      <c r="G9" s="1"/>
    </row>
    <row r="10" spans="1:7" x14ac:dyDescent="0.25">
      <c r="A10" s="1"/>
      <c r="B10" s="78" t="s">
        <v>197</v>
      </c>
      <c r="C10" s="79"/>
      <c r="D10" s="80"/>
      <c r="E10" s="7">
        <v>0</v>
      </c>
      <c r="F10" s="8" t="s">
        <v>3</v>
      </c>
      <c r="G10" s="1"/>
    </row>
    <row r="11" spans="1:7" x14ac:dyDescent="0.25">
      <c r="A11" s="1"/>
      <c r="B11" s="102" t="s">
        <v>198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81" t="s">
        <v>199</v>
      </c>
      <c r="C12" s="82"/>
      <c r="D12" s="83"/>
      <c r="E12" s="10">
        <f>E11-E10</f>
        <v>0</v>
      </c>
      <c r="F12" s="11" t="s">
        <v>3</v>
      </c>
      <c r="G12" s="1"/>
    </row>
    <row r="13" spans="1:7" x14ac:dyDescent="0.25">
      <c r="A13" s="1"/>
      <c r="B13" s="75" t="s">
        <v>175</v>
      </c>
      <c r="C13" s="76"/>
      <c r="D13" s="76"/>
      <c r="E13" s="76"/>
      <c r="F13" s="76"/>
      <c r="G13" s="1"/>
    </row>
    <row r="14" spans="1:7" x14ac:dyDescent="0.25">
      <c r="A14" s="1"/>
      <c r="B14" s="102" t="s">
        <v>218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78" t="s">
        <v>219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81" t="s">
        <v>199</v>
      </c>
      <c r="C16" s="82"/>
      <c r="D16" s="83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75" t="s">
        <v>170</v>
      </c>
      <c r="C17" s="76"/>
      <c r="D17" s="76"/>
      <c r="E17" s="76"/>
      <c r="F17" s="76"/>
      <c r="G17" s="1"/>
    </row>
    <row r="18" spans="1:7" ht="28.15" customHeight="1" x14ac:dyDescent="0.25">
      <c r="A18" s="1"/>
      <c r="B18" s="78" t="s">
        <v>266</v>
      </c>
      <c r="C18" s="79"/>
      <c r="D18" s="80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178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3" t="s">
        <v>190</v>
      </c>
      <c r="C20" s="44"/>
      <c r="D20" s="4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8yv60I1jeb83QK6kOc7OpDDR1oSCOIWzvwzvF2PNkONwtpfL9zbUBbitzm+nUiEi+lnrk7mzR5rWnYUtSJlHfg==" saltValue="afV95APHf10t7Pud+m9xH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261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262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0" t="s">
        <v>267</v>
      </c>
      <c r="C10" s="126">
        <v>20</v>
      </c>
      <c r="D10" s="9">
        <v>1183206.58</v>
      </c>
      <c r="E10" s="9">
        <f>IFERROR(D10/C10,0)</f>
        <v>59160.329000000005</v>
      </c>
      <c r="F10" s="9">
        <v>0</v>
      </c>
      <c r="G10" s="9">
        <v>0</v>
      </c>
      <c r="H10" s="14" t="s">
        <v>3</v>
      </c>
      <c r="I10" s="1"/>
    </row>
    <row r="11" spans="1:9" ht="51.75" x14ac:dyDescent="0.25">
      <c r="A11" s="1"/>
      <c r="B11" s="50" t="s">
        <v>268</v>
      </c>
      <c r="C11" s="126">
        <v>60</v>
      </c>
      <c r="D11" s="9">
        <v>6848567.96</v>
      </c>
      <c r="E11" s="9">
        <f t="shared" ref="E11" si="0">IFERROR(D11/C11,0)</f>
        <v>114142.79933333333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75" t="s">
        <v>263</v>
      </c>
      <c r="C12" s="76"/>
      <c r="D12" s="77"/>
      <c r="E12" s="12">
        <f>SUM(E10:E11)</f>
        <v>173303.12833333333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iD9eDYjPxx50z+N7Ow1chp+wYEHNtqwz/0rTxgR8UkuPs6vq4vMUVzg8T5SUOFmYy6H5m9dui6hy5zj/I6f9uw==" saltValue="nN0XDLwT+Fr5m8INqY4uqQ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231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137</v>
      </c>
      <c r="C8" s="44"/>
      <c r="D8" s="44"/>
      <c r="E8" s="44"/>
      <c r="F8" s="22"/>
      <c r="G8" s="1"/>
    </row>
    <row r="9" spans="1:7" ht="17.25" customHeight="1" x14ac:dyDescent="0.25">
      <c r="A9" s="1"/>
      <c r="B9" s="36" t="s">
        <v>25</v>
      </c>
      <c r="C9" s="36" t="s">
        <v>16</v>
      </c>
      <c r="D9" s="37"/>
      <c r="E9" s="36" t="s">
        <v>48</v>
      </c>
      <c r="F9" s="39"/>
      <c r="G9" s="1"/>
    </row>
    <row r="10" spans="1:7" x14ac:dyDescent="0.25">
      <c r="A10" s="1"/>
      <c r="B10" s="27" t="s">
        <v>269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173303.12833333333</v>
      </c>
      <c r="F10" s="14" t="s">
        <v>3</v>
      </c>
      <c r="G10" s="1"/>
    </row>
    <row r="11" spans="1:7" x14ac:dyDescent="0.25">
      <c r="A11" s="1"/>
      <c r="B11" s="43" t="s">
        <v>60</v>
      </c>
      <c r="C11" s="12">
        <f>SUM(C10:C10)</f>
        <v>0</v>
      </c>
      <c r="D11" s="13" t="s">
        <v>3</v>
      </c>
      <c r="E11" s="12">
        <f>SUM(E10:E10)</f>
        <v>173303.12833333333</v>
      </c>
      <c r="F11" s="13" t="s">
        <v>3</v>
      </c>
      <c r="G11" s="1"/>
    </row>
    <row r="12" spans="1:7" x14ac:dyDescent="0.25">
      <c r="A12" s="1"/>
      <c r="B12" s="43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176717.19996150001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fKxsS0yub7cnnGNQasPYUiLr8NdysSHdH1y2E/2iDuQPtoWhwSHWG+IjjBDfKByLLDG7jbbYfjFwnuut1cORMA==" saltValue="xnSnvvo1AeKBieNO6KHB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183</v>
      </c>
      <c r="C8" s="76"/>
      <c r="D8" s="76"/>
      <c r="E8" s="76"/>
      <c r="F8" s="77"/>
      <c r="G8" s="1"/>
    </row>
    <row r="9" spans="1:7" x14ac:dyDescent="0.25">
      <c r="A9" s="1"/>
      <c r="B9" s="36" t="s">
        <v>25</v>
      </c>
      <c r="C9" s="36" t="s">
        <v>16</v>
      </c>
      <c r="D9" s="37"/>
      <c r="E9" s="36" t="s">
        <v>48</v>
      </c>
      <c r="F9" s="39"/>
      <c r="G9" s="1"/>
    </row>
    <row r="10" spans="1:7" x14ac:dyDescent="0.25">
      <c r="A10" s="1"/>
      <c r="B10" s="27" t="s">
        <v>275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187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191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3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75" t="s">
        <v>184</v>
      </c>
      <c r="C16" s="76"/>
      <c r="D16" s="76"/>
      <c r="E16" s="76"/>
      <c r="F16" s="77"/>
      <c r="G16" s="1"/>
    </row>
    <row r="17" spans="1:7" x14ac:dyDescent="0.25">
      <c r="A17" s="1"/>
      <c r="B17" s="36" t="s">
        <v>25</v>
      </c>
      <c r="C17" s="36" t="s">
        <v>16</v>
      </c>
      <c r="D17" s="37"/>
      <c r="E17" s="36" t="s">
        <v>48</v>
      </c>
      <c r="F17" s="39"/>
      <c r="G17" s="1"/>
    </row>
    <row r="18" spans="1:7" x14ac:dyDescent="0.25">
      <c r="A18" s="1"/>
      <c r="B18" s="27" t="s">
        <v>275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3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191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3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75" t="s">
        <v>185</v>
      </c>
      <c r="C24" s="76"/>
      <c r="D24" s="76"/>
      <c r="E24" s="76"/>
      <c r="F24" s="77"/>
      <c r="G24" s="1"/>
    </row>
    <row r="25" spans="1:7" x14ac:dyDescent="0.25">
      <c r="A25" s="1"/>
      <c r="B25" s="36" t="s">
        <v>25</v>
      </c>
      <c r="C25" s="36" t="s">
        <v>16</v>
      </c>
      <c r="D25" s="37"/>
      <c r="E25" s="36" t="s">
        <v>48</v>
      </c>
      <c r="F25" s="39"/>
      <c r="G25" s="1"/>
    </row>
    <row r="26" spans="1:7" x14ac:dyDescent="0.25">
      <c r="A26" s="1"/>
      <c r="B26" s="27" t="s">
        <v>275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3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191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3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75" t="s">
        <v>186</v>
      </c>
      <c r="C32" s="76"/>
      <c r="D32" s="76"/>
      <c r="E32" s="76"/>
      <c r="F32" s="77"/>
      <c r="G32" s="1"/>
    </row>
    <row r="33" spans="1:7" x14ac:dyDescent="0.25">
      <c r="A33" s="1"/>
      <c r="B33" s="36" t="s">
        <v>25</v>
      </c>
      <c r="C33" s="36" t="s">
        <v>16</v>
      </c>
      <c r="D33" s="37"/>
      <c r="E33" s="36" t="s">
        <v>48</v>
      </c>
      <c r="F33" s="39"/>
      <c r="G33" s="1"/>
    </row>
    <row r="34" spans="1:7" x14ac:dyDescent="0.25">
      <c r="A34" s="1"/>
      <c r="B34" s="27" t="s">
        <v>275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3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191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3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xU8KDNqvfyl3r/BVtRAvejFP64fK3pQpEAlSRflvsPPgLtp3PKg4BIzobmK4PzQzuRbF95+1f3HjrowhSIg5w==" saltValue="BW2Jwcj+85d7uYYaNedIT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243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96"/>
      <c r="C5" s="96"/>
      <c r="D5" s="96"/>
      <c r="E5" s="96"/>
      <c r="F5" s="9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158</v>
      </c>
      <c r="C8" s="76"/>
      <c r="D8" s="76"/>
      <c r="E8" s="76"/>
      <c r="F8" s="77"/>
      <c r="G8" s="1"/>
    </row>
    <row r="9" spans="1:7" x14ac:dyDescent="0.25">
      <c r="A9" s="1"/>
      <c r="B9" s="120" t="s">
        <v>157</v>
      </c>
      <c r="C9" s="121"/>
      <c r="D9" s="122"/>
      <c r="E9" s="9">
        <v>0</v>
      </c>
      <c r="F9" s="14" t="s">
        <v>3</v>
      </c>
      <c r="G9" s="1"/>
    </row>
    <row r="10" spans="1:7" x14ac:dyDescent="0.25">
      <c r="A10" s="1"/>
      <c r="B10" s="117" t="s">
        <v>10</v>
      </c>
      <c r="C10" s="118"/>
      <c r="D10" s="119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17" t="s">
        <v>39</v>
      </c>
      <c r="C11" s="118"/>
      <c r="D11" s="119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75" t="s">
        <v>162</v>
      </c>
      <c r="C12" s="76"/>
      <c r="D12" s="77"/>
      <c r="E12" s="12">
        <f>SUM(E9:E11)*(1+'Fane 15.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159</v>
      </c>
      <c r="C14" s="76"/>
      <c r="D14" s="76"/>
      <c r="E14" s="76"/>
      <c r="F14" s="77"/>
      <c r="G14" s="1"/>
    </row>
    <row r="15" spans="1:7" x14ac:dyDescent="0.25">
      <c r="A15" s="1"/>
      <c r="B15" s="120" t="s">
        <v>157</v>
      </c>
      <c r="C15" s="121"/>
      <c r="D15" s="122"/>
      <c r="E15" s="9">
        <v>0</v>
      </c>
      <c r="F15" s="14" t="s">
        <v>3</v>
      </c>
      <c r="G15" s="1"/>
    </row>
    <row r="16" spans="1:7" x14ac:dyDescent="0.25">
      <c r="A16" s="1"/>
      <c r="B16" s="117" t="s">
        <v>10</v>
      </c>
      <c r="C16" s="118"/>
      <c r="D16" s="119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17" t="s">
        <v>39</v>
      </c>
      <c r="C17" s="118"/>
      <c r="D17" s="119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75" t="s">
        <v>163</v>
      </c>
      <c r="C18" s="76"/>
      <c r="D18" s="77"/>
      <c r="E18" s="12">
        <f>SUM(E15:E17)*(1+'Fane 15. Nøgletal'!C10)^3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160</v>
      </c>
      <c r="C20" s="76"/>
      <c r="D20" s="76"/>
      <c r="E20" s="76"/>
      <c r="F20" s="77"/>
      <c r="G20" s="1"/>
    </row>
    <row r="21" spans="1:7" x14ac:dyDescent="0.25">
      <c r="A21" s="1"/>
      <c r="B21" s="120" t="s">
        <v>157</v>
      </c>
      <c r="C21" s="121"/>
      <c r="D21" s="122"/>
      <c r="E21" s="9">
        <v>0</v>
      </c>
      <c r="F21" s="14" t="s">
        <v>3</v>
      </c>
      <c r="G21" s="1"/>
    </row>
    <row r="22" spans="1:7" x14ac:dyDescent="0.25">
      <c r="A22" s="1"/>
      <c r="B22" s="117" t="s">
        <v>10</v>
      </c>
      <c r="C22" s="118"/>
      <c r="D22" s="119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17" t="s">
        <v>39</v>
      </c>
      <c r="C23" s="118"/>
      <c r="D23" s="119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75" t="s">
        <v>164</v>
      </c>
      <c r="C24" s="76"/>
      <c r="D24" s="77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161</v>
      </c>
      <c r="C26" s="76"/>
      <c r="D26" s="76"/>
      <c r="E26" s="76"/>
      <c r="F26" s="77"/>
      <c r="G26" s="1"/>
    </row>
    <row r="27" spans="1:7" x14ac:dyDescent="0.25">
      <c r="A27" s="1"/>
      <c r="B27" s="120" t="s">
        <v>157</v>
      </c>
      <c r="C27" s="121"/>
      <c r="D27" s="122"/>
      <c r="E27" s="9">
        <v>0</v>
      </c>
      <c r="F27" s="14" t="s">
        <v>3</v>
      </c>
      <c r="G27" s="1"/>
    </row>
    <row r="28" spans="1:7" x14ac:dyDescent="0.25">
      <c r="A28" s="1"/>
      <c r="B28" s="117" t="s">
        <v>10</v>
      </c>
      <c r="C28" s="118"/>
      <c r="D28" s="119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17" t="s">
        <v>39</v>
      </c>
      <c r="C29" s="118"/>
      <c r="D29" s="119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75" t="s">
        <v>165</v>
      </c>
      <c r="C30" s="76"/>
      <c r="D30" s="77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WuCFSPBrfv7reGEptBRT5VNWZtBSfZRAQYZsaHoZM72dqRw7vBSOrMhjhld7W6Soz2PePlimnW7OwWImMB3cQ==" saltValue="YO5WVpGjcSUXqBsknFZHmw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229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38" t="s">
        <v>33</v>
      </c>
      <c r="C9" s="90" t="s">
        <v>16</v>
      </c>
      <c r="D9" s="92"/>
      <c r="E9" s="93" t="s">
        <v>48</v>
      </c>
      <c r="F9" s="95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/7zj6Qtu5QmFvSHJxJcFXW65csXjexkU1+yffJFxFSos1HCFeRyz9pSG1aeErtbLJlRFJXxabp08ZMXf+ajO7w==" saltValue="JBK79CQyBUHNRk03k2YcU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227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167</v>
      </c>
      <c r="C8" s="76"/>
      <c r="D8" s="76"/>
      <c r="E8" s="76"/>
      <c r="F8" s="77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168</v>
      </c>
      <c r="C14" s="76"/>
      <c r="D14" s="76"/>
      <c r="E14" s="76"/>
      <c r="F14" s="77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3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3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166</v>
      </c>
      <c r="C20" s="76"/>
      <c r="D20" s="76"/>
      <c r="E20" s="76"/>
      <c r="F20" s="77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3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3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169</v>
      </c>
      <c r="C26" s="76"/>
      <c r="D26" s="76"/>
      <c r="E26" s="76"/>
      <c r="F26" s="77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3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3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nRI4iNtw3H03sQoGjIdSlPcaVcPXuozXvKwmrzwKMqUu1Y3BzxIEUFjBANypvpOJNPVhWY9E/8+41TtNg9gvw==" saltValue="QaAQzg7XYtjsUmJY583fP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18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0</v>
      </c>
      <c r="H9" s="14" t="s">
        <v>3</v>
      </c>
      <c r="I9" s="1"/>
    </row>
    <row r="10" spans="1:9" x14ac:dyDescent="0.2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78</v>
      </c>
      <c r="C11" s="103"/>
      <c r="D11" s="103"/>
      <c r="E11" s="103"/>
      <c r="F11" s="104"/>
      <c r="G11" s="9">
        <v>0</v>
      </c>
      <c r="H11" s="14" t="s">
        <v>3</v>
      </c>
      <c r="I11" s="1"/>
    </row>
    <row r="12" spans="1:9" x14ac:dyDescent="0.25">
      <c r="A12" s="1"/>
      <c r="B12" s="123" t="s">
        <v>15</v>
      </c>
      <c r="C12" s="124"/>
      <c r="D12" s="124"/>
      <c r="E12" s="124"/>
      <c r="F12" s="125"/>
      <c r="G12" s="19">
        <f>(G9+G10)+G11</f>
        <v>0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0</v>
      </c>
      <c r="H13" s="14" t="s">
        <v>28</v>
      </c>
      <c r="I13" s="1"/>
    </row>
    <row r="14" spans="1:9" x14ac:dyDescent="0.25">
      <c r="A14" s="1"/>
      <c r="B14" s="75" t="s">
        <v>136</v>
      </c>
      <c r="C14" s="76"/>
      <c r="D14" s="76"/>
      <c r="E14" s="76"/>
      <c r="F14" s="7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AW3NttlVENLnq6ZlQ4GyoC8vx/JR8s356bzSzWsgQtIKIonFdTSRVRV6Hd5yZJ3FA9Fyc9TOB7dq6002dmIJA==" saltValue="6ZAXG3yOE0krS69tFQBp+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20</v>
      </c>
      <c r="C8" s="44"/>
      <c r="D8" s="22"/>
      <c r="E8" s="1"/>
    </row>
    <row r="9" spans="1:5" x14ac:dyDescent="0.25">
      <c r="A9" s="1"/>
      <c r="B9" s="41" t="s">
        <v>35</v>
      </c>
      <c r="C9" s="7">
        <f>'Fane 3. Omkostninger i ØR2019'!E20</f>
        <v>38308314.964898668</v>
      </c>
      <c r="D9" s="8" t="s">
        <v>3</v>
      </c>
      <c r="E9" s="1"/>
    </row>
    <row r="10" spans="1:5" x14ac:dyDescent="0.2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0</v>
      </c>
      <c r="D10" s="8" t="s">
        <v>3</v>
      </c>
      <c r="E10" s="1"/>
    </row>
    <row r="11" spans="1:5" x14ac:dyDescent="0.2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505933.73321507021</v>
      </c>
      <c r="D11" s="8" t="s">
        <v>3</v>
      </c>
      <c r="E11" s="1"/>
    </row>
    <row r="12" spans="1:5" ht="17.100000000000001" customHeight="1" x14ac:dyDescent="0.25">
      <c r="A12" s="1"/>
      <c r="B12" s="51" t="s">
        <v>64</v>
      </c>
      <c r="C12" s="7">
        <f>'Fane 10.1.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65</v>
      </c>
      <c r="C13" s="9">
        <f>'Fane 10.1. Varige tillæg'!E12</f>
        <v>176717.19996150001</v>
      </c>
      <c r="D13" s="8" t="s">
        <v>3</v>
      </c>
      <c r="E13" s="1"/>
    </row>
    <row r="14" spans="1:5" ht="17.100000000000001" customHeight="1" x14ac:dyDescent="0.25">
      <c r="A14" s="1"/>
      <c r="B14" s="51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1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1" t="s">
        <v>27</v>
      </c>
      <c r="C18" s="9">
        <f>(C9-SUM(C10:C11))*'Fane 15. Nøgletal'!C10+SUM(C10:C11)*'Fane 15. Nøgletal'!C11+SUM('Fane 2.1. Økonomisk ramme 2020'!C12:C17)*'Fane 15. Nøgletal'!C12</f>
        <v>673573.28048503923</v>
      </c>
      <c r="D18" s="8" t="s">
        <v>3</v>
      </c>
      <c r="E18" s="1"/>
    </row>
    <row r="19" spans="1:5" ht="17.100000000000001" customHeight="1" x14ac:dyDescent="0.25">
      <c r="A19" s="1"/>
      <c r="B19" s="51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51" t="s">
        <v>39</v>
      </c>
      <c r="C20" s="9">
        <f>-'Fane 4.1. Gen. krav - drift'!G28</f>
        <v>-459544.09047444008</v>
      </c>
      <c r="D20" s="8" t="s">
        <v>3</v>
      </c>
      <c r="E20" s="1"/>
    </row>
    <row r="21" spans="1:5" ht="17.100000000000001" customHeight="1" x14ac:dyDescent="0.25">
      <c r="A21" s="1"/>
      <c r="B21" s="51" t="s">
        <v>40</v>
      </c>
      <c r="C21" s="9">
        <f>-'Fane 4.2. Gen. krav - anlæg'!G26</f>
        <v>-284321.94156565476</v>
      </c>
      <c r="D21" s="8" t="s">
        <v>3</v>
      </c>
      <c r="E21" s="1"/>
    </row>
    <row r="22" spans="1:5" ht="17.100000000000001" customHeight="1" x14ac:dyDescent="0.25">
      <c r="A22" s="1"/>
      <c r="B22" s="45" t="s">
        <v>29</v>
      </c>
      <c r="C22" s="10">
        <f>SUM(C9,C12:C21)</f>
        <v>38414739.413305111</v>
      </c>
      <c r="D22" s="11" t="s">
        <v>3</v>
      </c>
      <c r="E22" s="1"/>
    </row>
    <row r="23" spans="1:5" ht="15" customHeight="1" x14ac:dyDescent="0.25">
      <c r="A23" s="1"/>
      <c r="B23" s="43" t="s">
        <v>17</v>
      </c>
      <c r="C23" s="44"/>
      <c r="D23" s="22"/>
      <c r="E23" s="1"/>
    </row>
    <row r="24" spans="1:5" ht="15" customHeight="1" x14ac:dyDescent="0.25">
      <c r="A24" s="1"/>
      <c r="B24" s="38" t="s">
        <v>17</v>
      </c>
      <c r="C24" s="10">
        <f>'Fane 6. Ikke-påvirkelige omk.'!C16+'Fane 6. Ikke-påvirkelige omk.'!C20+'Fane 6. Ikke-påvirkelige omk.'!C28</f>
        <v>4814147.7040010011</v>
      </c>
      <c r="D24" s="11" t="s">
        <v>3</v>
      </c>
      <c r="E24" s="1"/>
    </row>
    <row r="25" spans="1:5" ht="15" customHeight="1" x14ac:dyDescent="0.25">
      <c r="A25" s="1"/>
      <c r="B25" s="43" t="s">
        <v>143</v>
      </c>
      <c r="C25" s="44"/>
      <c r="D25" s="22"/>
      <c r="E25" s="1"/>
    </row>
    <row r="26" spans="1:5" ht="15" customHeight="1" x14ac:dyDescent="0.25">
      <c r="A26" s="1"/>
      <c r="B26" s="45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25">
      <c r="A27" s="1"/>
      <c r="B27" s="43" t="s">
        <v>142</v>
      </c>
      <c r="C27" s="44"/>
      <c r="D27" s="22"/>
      <c r="E27" s="1"/>
    </row>
    <row r="28" spans="1:5" ht="15" customHeight="1" x14ac:dyDescent="0.25">
      <c r="A28" s="1"/>
      <c r="B28" s="51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25">
      <c r="A29" s="1"/>
      <c r="B29" s="51" t="s">
        <v>139</v>
      </c>
      <c r="C29" s="9">
        <f>'Fane 10.2. Engangstillæg'!E14</f>
        <v>0</v>
      </c>
      <c r="D29" s="8" t="s">
        <v>3</v>
      </c>
      <c r="E29" s="1"/>
    </row>
    <row r="30" spans="1:5" x14ac:dyDescent="0.25">
      <c r="A30" s="1"/>
      <c r="B30" s="45" t="s">
        <v>145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43" t="s">
        <v>11</v>
      </c>
      <c r="C31" s="44"/>
      <c r="D31" s="22"/>
      <c r="E31" s="1"/>
    </row>
    <row r="32" spans="1:5" ht="15" customHeight="1" x14ac:dyDescent="0.25">
      <c r="A32" s="1"/>
      <c r="B32" s="38" t="s">
        <v>19</v>
      </c>
      <c r="C32" s="10">
        <f>'Fane 14. Hist. over-underdæk.'!G14</f>
        <v>0</v>
      </c>
      <c r="D32" s="11" t="s">
        <v>3</v>
      </c>
      <c r="E32" s="1"/>
    </row>
    <row r="33" spans="1:5" ht="15" customHeight="1" x14ac:dyDescent="0.25">
      <c r="A33" s="1"/>
      <c r="B33" s="43" t="s">
        <v>258</v>
      </c>
      <c r="C33" s="44"/>
      <c r="D33" s="22"/>
      <c r="E33" s="1"/>
    </row>
    <row r="34" spans="1:5" x14ac:dyDescent="0.25">
      <c r="A34" s="1"/>
      <c r="B34" s="38" t="s">
        <v>259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3" t="s">
        <v>36</v>
      </c>
      <c r="C35" s="12">
        <f>SUM(C22,C24,C26,C30,C32,C34)</f>
        <v>43228887.117306113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W3/eCbOFuvdlMdaYqx3Q/d0dwN90qttjra1YiuLzEkb7UbJ7yNL5Aivz04wqxFKG3wn3NS1a2Ycyk9l6Fy+vQ==" saltValue="nK4Rtjxi86dbCqwlZwFB0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208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21</v>
      </c>
      <c r="C8" s="22"/>
      <c r="D8" s="1"/>
    </row>
    <row r="9" spans="1:4" x14ac:dyDescent="0.25">
      <c r="A9" s="1"/>
      <c r="B9" s="47" t="s">
        <v>236</v>
      </c>
      <c r="C9" s="28">
        <v>1.2699999999999999E-2</v>
      </c>
      <c r="D9" s="1"/>
    </row>
    <row r="10" spans="1:4" x14ac:dyDescent="0.25">
      <c r="A10" s="1"/>
      <c r="B10" s="47" t="s">
        <v>237</v>
      </c>
      <c r="C10" s="28">
        <v>1.7500000000000002E-2</v>
      </c>
      <c r="D10" s="1"/>
    </row>
    <row r="11" spans="1:4" x14ac:dyDescent="0.25">
      <c r="A11" s="1"/>
      <c r="B11" s="47" t="s">
        <v>31</v>
      </c>
      <c r="C11" s="28">
        <v>1.6899999999999998E-2</v>
      </c>
      <c r="D11" s="1"/>
    </row>
    <row r="12" spans="1:4" x14ac:dyDescent="0.25">
      <c r="A12" s="1"/>
      <c r="B12" s="32" t="s">
        <v>70</v>
      </c>
      <c r="C12" s="33">
        <v>1.9699999999999999E-2</v>
      </c>
      <c r="D12" s="1"/>
    </row>
    <row r="13" spans="1:4" x14ac:dyDescent="0.25">
      <c r="A13" s="1"/>
      <c r="B13" s="43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3" t="s">
        <v>204</v>
      </c>
      <c r="C16" s="22"/>
      <c r="D16" s="1"/>
    </row>
    <row r="17" spans="1:4" x14ac:dyDescent="0.25">
      <c r="A17" s="1"/>
      <c r="B17" s="47" t="s">
        <v>238</v>
      </c>
      <c r="C17" s="25">
        <v>9.1000000000000004E-3</v>
      </c>
      <c r="D17" s="1"/>
    </row>
    <row r="18" spans="1:4" x14ac:dyDescent="0.25">
      <c r="A18" s="1"/>
      <c r="B18" s="47" t="s">
        <v>240</v>
      </c>
      <c r="C18" s="25">
        <v>1.77E-2</v>
      </c>
      <c r="D18" s="1"/>
    </row>
    <row r="19" spans="1:4" x14ac:dyDescent="0.25">
      <c r="A19" s="1"/>
      <c r="B19" s="47" t="s">
        <v>239</v>
      </c>
      <c r="C19" s="25">
        <v>8.6999999999999994E-3</v>
      </c>
      <c r="D19" s="1"/>
    </row>
    <row r="20" spans="1:4" x14ac:dyDescent="0.25">
      <c r="A20" s="1"/>
      <c r="B20" s="47" t="s">
        <v>241</v>
      </c>
      <c r="C20" s="34">
        <v>2.8400000000000002E-2</v>
      </c>
      <c r="D20" s="1"/>
    </row>
    <row r="21" spans="1:4" x14ac:dyDescent="0.25">
      <c r="A21" s="1"/>
      <c r="B21" s="43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3" t="s">
        <v>203</v>
      </c>
      <c r="C24" s="22"/>
      <c r="D24" s="1"/>
    </row>
    <row r="25" spans="1:4" x14ac:dyDescent="0.25">
      <c r="A25" s="1"/>
      <c r="B25" s="47" t="s">
        <v>242</v>
      </c>
      <c r="C25" s="28">
        <v>0.02</v>
      </c>
      <c r="D25" s="1"/>
    </row>
    <row r="26" spans="1:4" x14ac:dyDescent="0.25">
      <c r="A26" s="1"/>
      <c r="B26" s="43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7wP7tBl845J541uKz1hMaXxkZ2tM13myaKzTbSLjR9NGd22aPnfHqcmw+WpVHwarND5KQ3Pyt6GZNI+FmD0dAA==" saltValue="QRiO5mrEBN4VCyuCCu++g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20</v>
      </c>
      <c r="C8" s="44"/>
      <c r="D8" s="22"/>
      <c r="E8" s="1"/>
    </row>
    <row r="9" spans="1:5" ht="15" customHeight="1" x14ac:dyDescent="0.25">
      <c r="A9" s="1"/>
      <c r="B9" s="41" t="s">
        <v>37</v>
      </c>
      <c r="C9" s="7">
        <f>'Fane 2.1. Økonomisk ramme 2020'!C22</f>
        <v>38414739.413305111</v>
      </c>
      <c r="D9" s="8" t="s">
        <v>3</v>
      </c>
      <c r="E9" s="1"/>
    </row>
    <row r="10" spans="1:5" ht="15" customHeight="1" x14ac:dyDescent="0.25">
      <c r="A10" s="1"/>
      <c r="B10" s="49" t="s">
        <v>205</v>
      </c>
      <c r="C10" s="7">
        <f>'Fane 2.1. Økonomisk ramme 2020'!C10*(1-'Fane 15. Nøgletal'!C25-'Fane 5. Individuelt eff. krav'!G10)*(1+'Fane 15. Nøgletal'!C11)</f>
        <v>0</v>
      </c>
      <c r="D10" s="8" t="s">
        <v>3</v>
      </c>
      <c r="E10" s="1"/>
    </row>
    <row r="11" spans="1:5" ht="15" customHeight="1" x14ac:dyDescent="0.25">
      <c r="A11" s="1"/>
      <c r="B11" s="49" t="s">
        <v>206</v>
      </c>
      <c r="C11" s="7">
        <f>'Fane 2.1. Økonomisk ramme 2020'!C11*(1-'Fane 15. Nøgletal'!C19-'Fane 5. Individuelt eff. krav'!G10)*(1+'Fane 15. Nøgletal'!C11)</f>
        <v>510008.0023906391</v>
      </c>
      <c r="D11" s="8" t="s">
        <v>3</v>
      </c>
      <c r="E11" s="1"/>
    </row>
    <row r="12" spans="1:5" ht="15" customHeight="1" x14ac:dyDescent="0.25">
      <c r="A12" s="1"/>
      <c r="B12" s="49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0</v>
      </c>
      <c r="D12" s="8" t="s">
        <v>3</v>
      </c>
      <c r="E12" s="1"/>
    </row>
    <row r="13" spans="1:5" ht="15" customHeight="1" x14ac:dyDescent="0.25">
      <c r="A13" s="1"/>
      <c r="B13" s="49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175080.89058280052</v>
      </c>
      <c r="D13" s="8" t="s">
        <v>3</v>
      </c>
      <c r="E13" s="1"/>
    </row>
    <row r="14" spans="1:5" ht="15" customHeight="1" x14ac:dyDescent="0.25">
      <c r="A14" s="1"/>
      <c r="B14" s="51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1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42" t="s">
        <v>27</v>
      </c>
      <c r="C16" s="9">
        <f>(C9-SUM(C10:C13))*'Fane 15. Nøgletal'!C10+SUM(C10:C11)*'Fane 15. Nøgletal'!C11+SUM(C12:C15)*'Fane 15. Nøgletal'!C12</f>
        <v>672337.11289068742</v>
      </c>
      <c r="D16" s="8" t="s">
        <v>3</v>
      </c>
      <c r="E16" s="1"/>
    </row>
    <row r="17" spans="1:5" ht="15" customHeight="1" x14ac:dyDescent="0.25">
      <c r="A17" s="1"/>
      <c r="B17" s="42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42" t="s">
        <v>39</v>
      </c>
      <c r="C18" s="9">
        <f>-'Fane 4.1. Gen. krav - drift'!G36</f>
        <v>-458234.38981658797</v>
      </c>
      <c r="D18" s="8" t="s">
        <v>3</v>
      </c>
      <c r="E18" s="1"/>
    </row>
    <row r="19" spans="1:5" ht="15" customHeight="1" x14ac:dyDescent="0.25">
      <c r="A19" s="1"/>
      <c r="B19" s="42" t="s">
        <v>40</v>
      </c>
      <c r="C19" s="9">
        <f>-'Fane 4.2. Gen. krav - anlæg'!G34</f>
        <v>-284170.55733148567</v>
      </c>
      <c r="D19" s="8" t="s">
        <v>3</v>
      </c>
      <c r="E19" s="1"/>
    </row>
    <row r="20" spans="1:5" ht="15" customHeight="1" x14ac:dyDescent="0.25">
      <c r="A20" s="1"/>
      <c r="B20" s="46" t="s">
        <v>29</v>
      </c>
      <c r="C20" s="10">
        <f>SUM(C9,C14:C19)</f>
        <v>38344671.579047725</v>
      </c>
      <c r="D20" s="11" t="s">
        <v>3</v>
      </c>
      <c r="E20" s="1"/>
    </row>
    <row r="21" spans="1:5" x14ac:dyDescent="0.25">
      <c r="A21" s="1"/>
      <c r="B21" s="43" t="s">
        <v>17</v>
      </c>
      <c r="C21" s="4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omk.'!C16*(1+'Fane 15. Nøgletal'!C12)+'Fane 6. Ikke-påvirkelige omk.'!C21+'Fane 6. Ikke-påvirkelige omk.'!C29</f>
        <v>4908986.4137698207</v>
      </c>
      <c r="D22" s="11" t="s">
        <v>3</v>
      </c>
      <c r="E22" s="1"/>
    </row>
    <row r="23" spans="1:5" ht="15" customHeight="1" x14ac:dyDescent="0.25">
      <c r="A23" s="1"/>
      <c r="B23" s="43" t="s">
        <v>143</v>
      </c>
      <c r="C23" s="44"/>
      <c r="D23" s="22"/>
      <c r="E23" s="1"/>
    </row>
    <row r="24" spans="1:5" ht="15" customHeight="1" x14ac:dyDescent="0.25">
      <c r="A24" s="1"/>
      <c r="B24" s="45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25">
      <c r="A25" s="1"/>
      <c r="B25" s="43" t="s">
        <v>142</v>
      </c>
      <c r="C25" s="44"/>
      <c r="D25" s="22"/>
      <c r="E25" s="1"/>
    </row>
    <row r="26" spans="1:5" ht="15" customHeight="1" x14ac:dyDescent="0.25">
      <c r="A26" s="1"/>
      <c r="B26" s="51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25">
      <c r="A27" s="1"/>
      <c r="B27" s="51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25">
      <c r="A28" s="1"/>
      <c r="B28" s="45" t="s">
        <v>145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3" t="s">
        <v>45</v>
      </c>
      <c r="C29" s="12">
        <f>SUM(C20,C22,C24,C28,)</f>
        <v>43253657.992817543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a0o8lOyisHERV5r9HhPa0cWapmMNiFKn0PdEr8pBS/jwZUFyaolrqlQ6RCzT7qhDZfin4QAT7PW9yuv78XUXg==" saltValue="FWcSrRBG3KUTYgo/krxuv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20</v>
      </c>
      <c r="C7" s="44"/>
      <c r="D7" s="22"/>
      <c r="E7" s="1"/>
    </row>
    <row r="8" spans="1:5" ht="15" customHeight="1" x14ac:dyDescent="0.25">
      <c r="A8" s="1"/>
      <c r="B8" s="41" t="s">
        <v>38</v>
      </c>
      <c r="C8" s="7">
        <f>'Fane 2.2. Økonomisk ramme 2021'!C20</f>
        <v>38344671.579047725</v>
      </c>
      <c r="D8" s="8" t="s">
        <v>3</v>
      </c>
      <c r="E8" s="1"/>
    </row>
    <row r="9" spans="1:5" ht="15" customHeight="1" x14ac:dyDescent="0.25">
      <c r="A9" s="1"/>
      <c r="B9" s="41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1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27</v>
      </c>
      <c r="C11" s="9">
        <f>SUM(C8:C10)*'Fane 15. Nøgletal'!C12</f>
        <v>755390.03010724008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39</v>
      </c>
      <c r="C13" s="9">
        <f>-'Fane 4.1. Gen. krav - drift'!G42</f>
        <v>-457916.37515005522</v>
      </c>
      <c r="D13" s="8" t="s">
        <v>3</v>
      </c>
      <c r="E13" s="1"/>
    </row>
    <row r="14" spans="1:5" ht="15" customHeight="1" x14ac:dyDescent="0.25">
      <c r="A14" s="1"/>
      <c r="B14" s="42" t="s">
        <v>40</v>
      </c>
      <c r="C14" s="9">
        <f>-'Fane 4.2. Gen. krav - anlæg'!G40</f>
        <v>-461221.62332704262</v>
      </c>
      <c r="D14" s="8" t="s">
        <v>3</v>
      </c>
      <c r="E14" s="1"/>
    </row>
    <row r="15" spans="1:5" x14ac:dyDescent="0.25">
      <c r="A15" s="1"/>
      <c r="B15" s="46" t="s">
        <v>29</v>
      </c>
      <c r="C15" s="10">
        <f>SUM(C8:C14)</f>
        <v>38180923.610677868</v>
      </c>
      <c r="D15" s="11" t="s">
        <v>3</v>
      </c>
      <c r="E15" s="1"/>
    </row>
    <row r="16" spans="1:5" x14ac:dyDescent="0.25">
      <c r="A16" s="1"/>
      <c r="B16" s="43" t="s">
        <v>17</v>
      </c>
      <c r="C16" s="44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omk.'!C16*(1+'Fane 15. Nøgletal'!C12)^2+'Fane 6. Ikke-påvirkelige omk.'!C22+'Fane 6. Ikke-påvirkelige omk.'!C30</f>
        <v>5005693.4461210864</v>
      </c>
      <c r="D17" s="11" t="s">
        <v>3</v>
      </c>
      <c r="E17" s="1"/>
    </row>
    <row r="18" spans="1:5" ht="15" customHeight="1" x14ac:dyDescent="0.25">
      <c r="A18" s="1"/>
      <c r="B18" s="43" t="s">
        <v>143</v>
      </c>
      <c r="C18" s="44"/>
      <c r="D18" s="22"/>
      <c r="E18" s="1"/>
    </row>
    <row r="19" spans="1:5" ht="15" customHeight="1" x14ac:dyDescent="0.25">
      <c r="A19" s="1"/>
      <c r="B19" s="45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43" t="s">
        <v>142</v>
      </c>
      <c r="C20" s="44"/>
      <c r="D20" s="22"/>
      <c r="E20" s="1"/>
    </row>
    <row r="21" spans="1:5" ht="15" customHeight="1" x14ac:dyDescent="0.25">
      <c r="A21" s="1"/>
      <c r="B21" s="51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1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3" t="s">
        <v>171</v>
      </c>
      <c r="C24" s="44"/>
      <c r="D24" s="22"/>
      <c r="E24" s="1"/>
    </row>
    <row r="25" spans="1:5" ht="15" customHeight="1" x14ac:dyDescent="0.25">
      <c r="A25" s="1"/>
      <c r="B25" s="38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3" t="s">
        <v>46</v>
      </c>
      <c r="C26" s="12">
        <f>SUM(C15,C17,C19,C23,C25)</f>
        <v>43186617.056798957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x/sHbtFtX8vL4yxsklwOIueemAgB/fPv6IuRPwx2+ON5JJ6WE5Ess+5J7HxDSTYhtVv6JVFntH6oT0xaXjJcA==" saltValue="6GuHzXY0IU5a6aQ2sxjf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216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20</v>
      </c>
      <c r="C7" s="44"/>
      <c r="D7" s="22"/>
      <c r="E7" s="1"/>
    </row>
    <row r="8" spans="1:5" ht="15" customHeight="1" x14ac:dyDescent="0.25">
      <c r="A8" s="1"/>
      <c r="B8" s="41" t="s">
        <v>220</v>
      </c>
      <c r="C8" s="7">
        <f>'Fane 2.3. Økonomisk ramme 2022'!C15</f>
        <v>38180923.610677868</v>
      </c>
      <c r="D8" s="8" t="s">
        <v>3</v>
      </c>
      <c r="E8" s="1"/>
    </row>
    <row r="9" spans="1:5" ht="15" customHeight="1" x14ac:dyDescent="0.25">
      <c r="A9" s="1"/>
      <c r="B9" s="41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1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27</v>
      </c>
      <c r="C11" s="9">
        <f>C8*'Fane 15. Nøgletal'!C12</f>
        <v>752164.19513035391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39</v>
      </c>
      <c r="C13" s="9">
        <f>-'Fane 4.1. Gen. krav - drift'!G48</f>
        <v>-457598.58118570113</v>
      </c>
      <c r="D13" s="8" t="s">
        <v>3</v>
      </c>
      <c r="E13" s="1"/>
    </row>
    <row r="14" spans="1:5" ht="15" customHeight="1" x14ac:dyDescent="0.25">
      <c r="A14" s="1"/>
      <c r="B14" s="42" t="s">
        <v>40</v>
      </c>
      <c r="C14" s="9">
        <f>-'Fane 4.2. Gen. krav - anlæg'!G46</f>
        <v>-456950.95093027834</v>
      </c>
      <c r="D14" s="8" t="s">
        <v>3</v>
      </c>
      <c r="E14" s="1"/>
    </row>
    <row r="15" spans="1:5" x14ac:dyDescent="0.25">
      <c r="A15" s="1"/>
      <c r="B15" s="46" t="s">
        <v>29</v>
      </c>
      <c r="C15" s="10">
        <f>SUM(C8:C14)</f>
        <v>38018538.27369225</v>
      </c>
      <c r="D15" s="11" t="s">
        <v>3</v>
      </c>
      <c r="E15" s="1"/>
    </row>
    <row r="16" spans="1:5" x14ac:dyDescent="0.25">
      <c r="A16" s="1"/>
      <c r="B16" s="43" t="s">
        <v>17</v>
      </c>
      <c r="C16" s="44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omk.'!C16*(1+'Fane 15. Nøgletal'!C12)^3+'Fane 6. Ikke-påvirkelige omk.'!C23+'Fane 6. Ikke-påvirkelige omk.'!C31</f>
        <v>5104305.6070096716</v>
      </c>
      <c r="D17" s="11" t="s">
        <v>3</v>
      </c>
      <c r="E17" s="1"/>
    </row>
    <row r="18" spans="1:5" ht="15" customHeight="1" x14ac:dyDescent="0.25">
      <c r="A18" s="1"/>
      <c r="B18" s="43" t="s">
        <v>143</v>
      </c>
      <c r="C18" s="44"/>
      <c r="D18" s="22"/>
      <c r="E18" s="1"/>
    </row>
    <row r="19" spans="1:5" ht="15" customHeight="1" x14ac:dyDescent="0.25">
      <c r="A19" s="1"/>
      <c r="B19" s="45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43" t="s">
        <v>142</v>
      </c>
      <c r="C20" s="44"/>
      <c r="D20" s="22"/>
      <c r="E20" s="1"/>
    </row>
    <row r="21" spans="1:5" ht="15" customHeight="1" x14ac:dyDescent="0.25">
      <c r="A21" s="1"/>
      <c r="B21" s="51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1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3" t="s">
        <v>171</v>
      </c>
      <c r="C24" s="44"/>
      <c r="D24" s="22"/>
      <c r="E24" s="1"/>
    </row>
    <row r="25" spans="1:5" ht="15" customHeight="1" x14ac:dyDescent="0.25">
      <c r="A25" s="1"/>
      <c r="B25" s="38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3" t="s">
        <v>156</v>
      </c>
      <c r="C26" s="12">
        <f>SUM(C15,C17,C19,C23,C25)</f>
        <v>43122843.880701922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l5VGg6hKe9bf2UCVATKFAx7vPwS+nQGJabvTj1weNTcaV1HPJyCBO+MV9ttigyh3u5rm440kHrEAiXO70oquw==" saltValue="FlaC5P+g1y4GEaIusZ/GY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254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81</v>
      </c>
      <c r="C8" s="44"/>
      <c r="D8" s="44"/>
      <c r="E8" s="44"/>
      <c r="F8" s="22"/>
      <c r="G8" s="1"/>
    </row>
    <row r="9" spans="1:7" x14ac:dyDescent="0.25">
      <c r="A9" s="1"/>
      <c r="B9" s="97" t="s">
        <v>79</v>
      </c>
      <c r="C9" s="98"/>
      <c r="D9" s="99"/>
      <c r="E9" s="7">
        <v>37875289.604652017</v>
      </c>
      <c r="F9" s="8" t="s">
        <v>3</v>
      </c>
      <c r="G9" s="1"/>
    </row>
    <row r="10" spans="1:7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84" t="s">
        <v>65</v>
      </c>
      <c r="C11" s="85"/>
      <c r="D11" s="86"/>
      <c r="E11" s="9">
        <v>501892.01189999998</v>
      </c>
      <c r="F11" s="8" t="s">
        <v>3</v>
      </c>
      <c r="G11" s="1"/>
    </row>
    <row r="12" spans="1:7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x14ac:dyDescent="0.25">
      <c r="A13" s="1"/>
      <c r="B13" s="84" t="s">
        <v>41</v>
      </c>
      <c r="C13" s="85"/>
      <c r="D13" s="86"/>
      <c r="E13" s="9">
        <v>0</v>
      </c>
      <c r="F13" s="8" t="s">
        <v>3</v>
      </c>
      <c r="G13" s="1"/>
    </row>
    <row r="14" spans="1:7" x14ac:dyDescent="0.25">
      <c r="A14" s="1"/>
      <c r="B14" s="84" t="s">
        <v>44</v>
      </c>
      <c r="C14" s="85"/>
      <c r="D14" s="86"/>
      <c r="E14" s="9">
        <v>0</v>
      </c>
      <c r="F14" s="8" t="s">
        <v>3</v>
      </c>
      <c r="G14" s="1"/>
    </row>
    <row r="15" spans="1:7" x14ac:dyDescent="0.25">
      <c r="A15" s="1"/>
      <c r="B15" s="84" t="s">
        <v>43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84" t="s">
        <v>27</v>
      </c>
      <c r="C16" s="85"/>
      <c r="D16" s="86"/>
      <c r="E16" s="9">
        <f>E9*'Fane 15. Nøgletal'!C10+SUM(E10:E15)*'Fane 15. Nøgletal'!C11</f>
        <v>671299.54308252037</v>
      </c>
      <c r="F16" s="8" t="s">
        <v>3</v>
      </c>
      <c r="G16" s="1"/>
    </row>
    <row r="17" spans="1:7" x14ac:dyDescent="0.25">
      <c r="A17" s="1"/>
      <c r="B17" s="84" t="s">
        <v>10</v>
      </c>
      <c r="C17" s="85"/>
      <c r="D17" s="86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84" t="s">
        <v>39</v>
      </c>
      <c r="C18" s="85"/>
      <c r="D18" s="86"/>
      <c r="E18" s="9">
        <f>-'Fane 4.1. Gen. krav - drift'!G21</f>
        <v>-460857.53444761585</v>
      </c>
      <c r="F18" s="8" t="s">
        <v>3</v>
      </c>
      <c r="G18" s="1"/>
    </row>
    <row r="19" spans="1:7" x14ac:dyDescent="0.25">
      <c r="A19" s="1"/>
      <c r="B19" s="84" t="s">
        <v>40</v>
      </c>
      <c r="C19" s="85"/>
      <c r="D19" s="86"/>
      <c r="E19" s="9">
        <f>-'Fane 4.2. Gen. krav - anlæg'!G19</f>
        <v>-279308.66028825316</v>
      </c>
      <c r="F19" s="8" t="s">
        <v>3</v>
      </c>
      <c r="G19" s="1"/>
    </row>
    <row r="20" spans="1:7" x14ac:dyDescent="0.25">
      <c r="A20" s="1"/>
      <c r="B20" s="87" t="s">
        <v>29</v>
      </c>
      <c r="C20" s="88"/>
      <c r="D20" s="89"/>
      <c r="E20" s="10">
        <f>SUM(E9:E19)</f>
        <v>38308314.964898668</v>
      </c>
      <c r="F20" s="11" t="s">
        <v>3</v>
      </c>
      <c r="G20" s="1"/>
    </row>
    <row r="21" spans="1:7" x14ac:dyDescent="0.25">
      <c r="A21" s="1"/>
      <c r="B21" s="75" t="s">
        <v>143</v>
      </c>
      <c r="C21" s="76"/>
      <c r="D21" s="76"/>
      <c r="E21" s="76"/>
      <c r="F21" s="77"/>
      <c r="G21" s="1"/>
    </row>
    <row r="22" spans="1:7" x14ac:dyDescent="0.25">
      <c r="A22" s="1"/>
      <c r="B22" s="78" t="s">
        <v>250</v>
      </c>
      <c r="C22" s="79"/>
      <c r="D22" s="80"/>
      <c r="E22" s="35">
        <v>0</v>
      </c>
      <c r="F22" s="8" t="s">
        <v>3</v>
      </c>
      <c r="G22" s="1"/>
    </row>
    <row r="23" spans="1:7" x14ac:dyDescent="0.25">
      <c r="A23" s="1"/>
      <c r="B23" s="78" t="s">
        <v>251</v>
      </c>
      <c r="C23" s="79"/>
      <c r="D23" s="80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25">
      <c r="A24" s="1"/>
      <c r="B24" s="81" t="s">
        <v>252</v>
      </c>
      <c r="C24" s="82"/>
      <c r="D24" s="83"/>
      <c r="E24" s="10">
        <f>SUM(E22:E23)</f>
        <v>0</v>
      </c>
      <c r="F24" s="11" t="s">
        <v>3</v>
      </c>
      <c r="G24" s="1"/>
    </row>
    <row r="25" spans="1:7" x14ac:dyDescent="0.25">
      <c r="A25" s="1"/>
      <c r="B25" s="100" t="s">
        <v>17</v>
      </c>
      <c r="C25" s="101"/>
      <c r="D25" s="101"/>
      <c r="E25" s="44"/>
      <c r="F25" s="22"/>
      <c r="G25" s="1"/>
    </row>
    <row r="26" spans="1:7" x14ac:dyDescent="0.25">
      <c r="A26" s="1"/>
      <c r="B26" s="93" t="s">
        <v>17</v>
      </c>
      <c r="C26" s="94"/>
      <c r="D26" s="95"/>
      <c r="E26" s="10">
        <v>5837369.8368543787</v>
      </c>
      <c r="F26" s="11" t="s">
        <v>3</v>
      </c>
      <c r="G26" s="1"/>
    </row>
    <row r="27" spans="1:7" x14ac:dyDescent="0.25">
      <c r="A27" s="1"/>
      <c r="B27" s="43" t="s">
        <v>80</v>
      </c>
      <c r="C27" s="44"/>
      <c r="D27" s="44"/>
      <c r="E27" s="44"/>
      <c r="F27" s="22"/>
      <c r="G27" s="1"/>
    </row>
    <row r="28" spans="1:7" ht="27" customHeight="1" x14ac:dyDescent="0.25">
      <c r="A28" s="1"/>
      <c r="B28" s="90" t="s">
        <v>132</v>
      </c>
      <c r="C28" s="91"/>
      <c r="D28" s="92"/>
      <c r="E28" s="10">
        <v>33869.706703410106</v>
      </c>
      <c r="F28" s="11" t="s">
        <v>3</v>
      </c>
      <c r="G28" s="1"/>
    </row>
    <row r="29" spans="1:7" x14ac:dyDescent="0.25">
      <c r="A29" s="1"/>
      <c r="B29" s="43" t="s">
        <v>11</v>
      </c>
      <c r="C29" s="44"/>
      <c r="D29" s="44"/>
      <c r="E29" s="44"/>
      <c r="F29" s="22"/>
      <c r="G29" s="1"/>
    </row>
    <row r="30" spans="1:7" x14ac:dyDescent="0.25">
      <c r="A30" s="1"/>
      <c r="B30" s="93" t="s">
        <v>19</v>
      </c>
      <c r="C30" s="94"/>
      <c r="D30" s="95"/>
      <c r="E30" s="10">
        <v>0</v>
      </c>
      <c r="F30" s="11" t="s">
        <v>3</v>
      </c>
      <c r="G30" s="1"/>
    </row>
    <row r="31" spans="1:7" x14ac:dyDescent="0.25">
      <c r="A31" s="1"/>
      <c r="B31" s="43" t="s">
        <v>24</v>
      </c>
      <c r="C31" s="44"/>
      <c r="D31" s="44"/>
      <c r="E31" s="12">
        <f>SUM(E30,E28,E26,E20,E24)</f>
        <v>44179554.508456454</v>
      </c>
      <c r="F31" s="13" t="s">
        <v>3</v>
      </c>
      <c r="G31" s="1"/>
    </row>
    <row r="32" spans="1:7" ht="27" customHeight="1" x14ac:dyDescent="0.25">
      <c r="A32" s="1"/>
      <c r="B32" s="78" t="s">
        <v>209</v>
      </c>
      <c r="C32" s="79"/>
      <c r="D32" s="79"/>
      <c r="E32" s="79"/>
      <c r="F32" s="80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H4uKK+DYMWcSbyrU601sq12AY/VL+eEdX8i0Q9IM6oRSQCU/h1atDs0MfY1AtuZgTRpXXl4G2rwNE4SJ22EEQ==" saltValue="yCaVvRWktSXiPfxFVO+HMg==" spinCount="100000" sheet="1" objects="1" scenarios="1"/>
  <mergeCells count="22"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  <mergeCell ref="B21:F21"/>
    <mergeCell ref="B22:D22"/>
    <mergeCell ref="B23:D23"/>
    <mergeCell ref="B24:D24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235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75" t="s">
        <v>94</v>
      </c>
      <c r="C4" s="76"/>
      <c r="D4" s="76"/>
      <c r="E4" s="76"/>
      <c r="F4" s="76"/>
      <c r="G4" s="76"/>
      <c r="H4" s="77"/>
      <c r="I4" s="1"/>
    </row>
    <row r="5" spans="1:9" x14ac:dyDescent="0.25">
      <c r="A5" s="1"/>
      <c r="B5" s="102" t="s">
        <v>83</v>
      </c>
      <c r="C5" s="103"/>
      <c r="D5" s="103"/>
      <c r="E5" s="103"/>
      <c r="F5" s="104"/>
      <c r="G5" s="26">
        <v>23174785</v>
      </c>
      <c r="H5" s="14" t="s">
        <v>3</v>
      </c>
      <c r="I5" s="1"/>
    </row>
    <row r="6" spans="1:9" x14ac:dyDescent="0.25">
      <c r="A6" s="1"/>
      <c r="B6" s="78" t="s">
        <v>253</v>
      </c>
      <c r="C6" s="79"/>
      <c r="D6" s="79"/>
      <c r="E6" s="79"/>
      <c r="F6" s="80"/>
      <c r="G6" s="26">
        <v>0</v>
      </c>
      <c r="H6" s="14" t="s">
        <v>3</v>
      </c>
      <c r="I6" s="1"/>
    </row>
    <row r="7" spans="1:9" x14ac:dyDescent="0.25">
      <c r="A7" s="1"/>
      <c r="B7" s="102" t="s">
        <v>84</v>
      </c>
      <c r="C7" s="103"/>
      <c r="D7" s="103"/>
      <c r="E7" s="103"/>
      <c r="F7" s="104"/>
      <c r="G7" s="26">
        <f>SUM(G5:G6)*'Fane 15. Nøgletal'!C25</f>
        <v>463495.7</v>
      </c>
      <c r="H7" s="14" t="s">
        <v>3</v>
      </c>
      <c r="I7" s="1"/>
    </row>
    <row r="8" spans="1:9" x14ac:dyDescent="0.25">
      <c r="A8" s="1"/>
      <c r="B8" s="43"/>
      <c r="C8" s="44"/>
      <c r="D8" s="44"/>
      <c r="E8" s="44"/>
      <c r="F8" s="44"/>
      <c r="G8" s="44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75" t="s">
        <v>95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102" t="s">
        <v>85</v>
      </c>
      <c r="C11" s="103"/>
      <c r="D11" s="103"/>
      <c r="E11" s="103"/>
      <c r="F11" s="104"/>
      <c r="G11" s="26">
        <f>(G5-G7)*(1+'Fane 15. Nøgletal'!C10)</f>
        <v>23108736.862750001</v>
      </c>
      <c r="H11" s="14" t="s">
        <v>3</v>
      </c>
      <c r="I11" s="1"/>
    </row>
    <row r="12" spans="1:9" x14ac:dyDescent="0.25">
      <c r="A12" s="1"/>
      <c r="B12" s="102" t="s">
        <v>256</v>
      </c>
      <c r="C12" s="103"/>
      <c r="D12" s="103"/>
      <c r="E12" s="103"/>
      <c r="F12" s="104"/>
      <c r="G12" s="26">
        <v>-0.24099721845239402</v>
      </c>
      <c r="H12" s="14" t="s">
        <v>3</v>
      </c>
      <c r="I12" s="1"/>
    </row>
    <row r="13" spans="1:9" x14ac:dyDescent="0.25">
      <c r="A13" s="1"/>
      <c r="B13" s="78" t="s">
        <v>250</v>
      </c>
      <c r="C13" s="79"/>
      <c r="D13" s="79"/>
      <c r="E13" s="79"/>
      <c r="F13" s="80"/>
      <c r="G13" s="26">
        <v>0</v>
      </c>
      <c r="H13" s="14" t="s">
        <v>3</v>
      </c>
      <c r="I13" s="1"/>
    </row>
    <row r="14" spans="1:9" x14ac:dyDescent="0.25">
      <c r="A14" s="1"/>
      <c r="B14" s="108" t="s">
        <v>86</v>
      </c>
      <c r="C14" s="106"/>
      <c r="D14" s="106"/>
      <c r="E14" s="106"/>
      <c r="F14" s="107"/>
      <c r="G14" s="26">
        <v>0</v>
      </c>
      <c r="H14" s="14" t="s">
        <v>3</v>
      </c>
      <c r="I14" s="1"/>
    </row>
    <row r="15" spans="1:9" x14ac:dyDescent="0.25">
      <c r="A15" s="1"/>
      <c r="B15" s="102" t="s">
        <v>87</v>
      </c>
      <c r="C15" s="103"/>
      <c r="D15" s="103"/>
      <c r="E15" s="103"/>
      <c r="F15" s="104"/>
      <c r="G15" s="26">
        <f>SUM(G11:G14)*'Fane 15. Nøgletal'!C25</f>
        <v>462174.73243505566</v>
      </c>
      <c r="H15" s="14" t="s">
        <v>3</v>
      </c>
      <c r="I15" s="1"/>
    </row>
    <row r="16" spans="1:9" x14ac:dyDescent="0.25">
      <c r="A16" s="1"/>
      <c r="B16" s="43"/>
      <c r="C16" s="44"/>
      <c r="D16" s="44"/>
      <c r="E16" s="44"/>
      <c r="F16" s="44"/>
      <c r="G16" s="44"/>
      <c r="H16" s="2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75" t="s">
        <v>96</v>
      </c>
      <c r="C18" s="76"/>
      <c r="D18" s="76"/>
      <c r="E18" s="76"/>
      <c r="F18" s="76"/>
      <c r="G18" s="76"/>
      <c r="H18" s="77"/>
      <c r="I18" s="1"/>
    </row>
    <row r="19" spans="1:9" x14ac:dyDescent="0.25">
      <c r="A19" s="1"/>
      <c r="B19" s="102" t="s">
        <v>88</v>
      </c>
      <c r="C19" s="103"/>
      <c r="D19" s="103"/>
      <c r="E19" s="103"/>
      <c r="F19" s="104"/>
      <c r="G19" s="26">
        <f>(G11+G12+G14-G15)*(1+'Fane 15. Nøgletal'!C10)</f>
        <v>23042876.722380791</v>
      </c>
      <c r="H19" s="14" t="s">
        <v>3</v>
      </c>
      <c r="I19" s="1"/>
    </row>
    <row r="20" spans="1:9" x14ac:dyDescent="0.25">
      <c r="A20" s="1"/>
      <c r="B20" s="108" t="s">
        <v>89</v>
      </c>
      <c r="C20" s="106"/>
      <c r="D20" s="106"/>
      <c r="E20" s="106"/>
      <c r="F20" s="107"/>
      <c r="G20" s="26">
        <v>0</v>
      </c>
      <c r="H20" s="14" t="s">
        <v>3</v>
      </c>
      <c r="I20" s="1"/>
    </row>
    <row r="21" spans="1:9" x14ac:dyDescent="0.25">
      <c r="A21" s="1"/>
      <c r="B21" s="102" t="s">
        <v>90</v>
      </c>
      <c r="C21" s="103"/>
      <c r="D21" s="103"/>
      <c r="E21" s="103"/>
      <c r="F21" s="104"/>
      <c r="G21" s="26">
        <f>(G19+G20)*'Fane 15. Nøgletal'!C25</f>
        <v>460857.53444761585</v>
      </c>
      <c r="H21" s="14" t="s">
        <v>3</v>
      </c>
      <c r="I21" s="1"/>
    </row>
    <row r="22" spans="1:9" x14ac:dyDescent="0.25">
      <c r="A22" s="1"/>
      <c r="B22" s="43"/>
      <c r="C22" s="44"/>
      <c r="D22" s="44"/>
      <c r="E22" s="44"/>
      <c r="F22" s="44"/>
      <c r="G22" s="44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75" t="s">
        <v>97</v>
      </c>
      <c r="C24" s="76"/>
      <c r="D24" s="76"/>
      <c r="E24" s="76"/>
      <c r="F24" s="76"/>
      <c r="G24" s="76"/>
      <c r="H24" s="77"/>
      <c r="I24" s="1"/>
    </row>
    <row r="25" spans="1:9" x14ac:dyDescent="0.25">
      <c r="A25" s="1"/>
      <c r="B25" s="102" t="s">
        <v>91</v>
      </c>
      <c r="C25" s="103"/>
      <c r="D25" s="103"/>
      <c r="E25" s="103"/>
      <c r="F25" s="104"/>
      <c r="G25" s="26">
        <f>G19*(1-'Fane 15. Nøgletal'!C25)*(1+'Fane 15. Nøgletal'!C10)+G20*(1-'Fane 15. Nøgletal'!C25)*(1+'Fane 15. Nøgletal'!C11)</f>
        <v>22977204.523722004</v>
      </c>
      <c r="H25" s="14" t="s">
        <v>3</v>
      </c>
      <c r="I25" s="1"/>
    </row>
    <row r="26" spans="1:9" x14ac:dyDescent="0.25">
      <c r="A26" s="1"/>
      <c r="B26" s="105" t="s">
        <v>248</v>
      </c>
      <c r="C26" s="106"/>
      <c r="D26" s="106"/>
      <c r="E26" s="106"/>
      <c r="F26" s="107"/>
      <c r="G26" s="26">
        <f>G20*(1-'Fane 15. Nøgletal'!C25)*(1+'Fane 15. Nøgletal'!C11)</f>
        <v>0</v>
      </c>
      <c r="H26" s="14" t="s">
        <v>3</v>
      </c>
      <c r="I26" s="1"/>
    </row>
    <row r="27" spans="1:9" x14ac:dyDescent="0.25">
      <c r="A27" s="1"/>
      <c r="B27" s="108" t="s">
        <v>92</v>
      </c>
      <c r="C27" s="106"/>
      <c r="D27" s="106"/>
      <c r="E27" s="106"/>
      <c r="F27" s="107"/>
      <c r="G27" s="26">
        <f>('Fane 2.1. Økonomisk ramme 2020'!C12+'Fane 2.1. Økonomisk ramme 2020'!C14+'Fane 2.1. Økonomisk ramme 2020'!C16)*(1+'Fane 15. Nøgletal'!C12)</f>
        <v>0</v>
      </c>
      <c r="H27" s="14" t="s">
        <v>3</v>
      </c>
      <c r="I27" s="1"/>
    </row>
    <row r="28" spans="1:9" x14ac:dyDescent="0.25">
      <c r="A28" s="1"/>
      <c r="B28" s="102" t="s">
        <v>93</v>
      </c>
      <c r="C28" s="103"/>
      <c r="D28" s="103"/>
      <c r="E28" s="103"/>
      <c r="F28" s="104"/>
      <c r="G28" s="26">
        <f>SUM(G25,G27)*'Fane 15. Nøgletal'!C25</f>
        <v>459544.09047444008</v>
      </c>
      <c r="H28" s="14" t="s">
        <v>3</v>
      </c>
      <c r="I28" s="1"/>
    </row>
    <row r="29" spans="1:9" x14ac:dyDescent="0.25">
      <c r="A29" s="1"/>
      <c r="B29" s="43"/>
      <c r="C29" s="44"/>
      <c r="D29" s="44"/>
      <c r="E29" s="44"/>
      <c r="F29" s="44"/>
      <c r="G29" s="4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75" t="s">
        <v>100</v>
      </c>
      <c r="C31" s="76"/>
      <c r="D31" s="76"/>
      <c r="E31" s="76"/>
      <c r="F31" s="76"/>
      <c r="G31" s="76"/>
      <c r="H31" s="77"/>
      <c r="I31" s="1"/>
    </row>
    <row r="32" spans="1:9" x14ac:dyDescent="0.25">
      <c r="A32" s="1"/>
      <c r="B32" s="102" t="s">
        <v>101</v>
      </c>
      <c r="C32" s="103"/>
      <c r="D32" s="103"/>
      <c r="E32" s="103"/>
      <c r="F32" s="104"/>
      <c r="G32" s="26">
        <f>(G25-G26)*(1-'Fane 15. Nøgletal'!C25)*(1+'Fane 15. Nøgletal'!C10)+G26*(1-'Fane 15. Nøgletal'!C25)*(1+'Fane 15. Nøgletal'!C11)+G27*(1-'Fane 15. Nøgletal'!C25)*(1+'Fane 15. Nøgletal'!C12)</f>
        <v>22911719.490829397</v>
      </c>
      <c r="H32" s="14" t="s">
        <v>3</v>
      </c>
      <c r="I32" s="1"/>
    </row>
    <row r="33" spans="1:9" x14ac:dyDescent="0.25">
      <c r="A33" s="1"/>
      <c r="B33" s="105" t="s">
        <v>248</v>
      </c>
      <c r="C33" s="106"/>
      <c r="D33" s="106"/>
      <c r="E33" s="106"/>
      <c r="F33" s="107"/>
      <c r="G33" s="26">
        <f>G26*(1-'Fane 15. Nøgletal'!C25)*(1+'Fane 15. Nøgletal'!C11)</f>
        <v>0</v>
      </c>
      <c r="H33" s="14" t="s">
        <v>3</v>
      </c>
      <c r="I33" s="1"/>
    </row>
    <row r="34" spans="1:9" x14ac:dyDescent="0.25">
      <c r="A34" s="1"/>
      <c r="B34" s="105" t="s">
        <v>249</v>
      </c>
      <c r="C34" s="106"/>
      <c r="D34" s="106"/>
      <c r="E34" s="106"/>
      <c r="F34" s="107"/>
      <c r="G34" s="26">
        <f>G27*(1-'Fane 15. Nøgletal'!C25)*(1+'Fane 15. Nøgletal'!C12)</f>
        <v>0</v>
      </c>
      <c r="H34" s="14" t="s">
        <v>3</v>
      </c>
      <c r="I34" s="1"/>
    </row>
    <row r="35" spans="1:9" x14ac:dyDescent="0.25">
      <c r="A35" s="1"/>
      <c r="B35" s="102" t="s">
        <v>147</v>
      </c>
      <c r="C35" s="103"/>
      <c r="D35" s="103"/>
      <c r="E35" s="103"/>
      <c r="F35" s="104"/>
      <c r="G35" s="26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2" t="s">
        <v>102</v>
      </c>
      <c r="C36" s="103"/>
      <c r="D36" s="103"/>
      <c r="E36" s="103"/>
      <c r="F36" s="104"/>
      <c r="G36" s="26">
        <f>SUM(G32,G35)*'Fane 15. Nøgletal'!C25</f>
        <v>458234.38981658797</v>
      </c>
      <c r="H36" s="14" t="s">
        <v>3</v>
      </c>
      <c r="I36" s="1"/>
    </row>
    <row r="37" spans="1:9" x14ac:dyDescent="0.25">
      <c r="A37" s="1"/>
      <c r="B37" s="43"/>
      <c r="C37" s="44"/>
      <c r="D37" s="44"/>
      <c r="E37" s="44"/>
      <c r="F37" s="44"/>
      <c r="G37" s="44"/>
      <c r="H37" s="22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75" t="s">
        <v>127</v>
      </c>
      <c r="C39" s="76"/>
      <c r="D39" s="76"/>
      <c r="E39" s="76"/>
      <c r="F39" s="76"/>
      <c r="G39" s="76"/>
      <c r="H39" s="77"/>
      <c r="I39" s="1"/>
    </row>
    <row r="40" spans="1:9" x14ac:dyDescent="0.25">
      <c r="A40" s="1"/>
      <c r="B40" s="102" t="s">
        <v>126</v>
      </c>
      <c r="C40" s="103"/>
      <c r="D40" s="103"/>
      <c r="E40" s="103"/>
      <c r="F40" s="104"/>
      <c r="G40" s="26">
        <f>(SUM(G32,G35)-G36)*(1+'Fane 15. Nøgletal'!C12)</f>
        <v>22895818.757502761</v>
      </c>
      <c r="H40" s="14" t="s">
        <v>3</v>
      </c>
      <c r="I40" s="1"/>
    </row>
    <row r="41" spans="1:9" x14ac:dyDescent="0.25">
      <c r="A41" s="1"/>
      <c r="B41" s="102" t="s">
        <v>148</v>
      </c>
      <c r="C41" s="103"/>
      <c r="D41" s="103"/>
      <c r="E41" s="103"/>
      <c r="F41" s="104"/>
      <c r="G41" s="26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2" t="s">
        <v>103</v>
      </c>
      <c r="C42" s="103"/>
      <c r="D42" s="103"/>
      <c r="E42" s="103"/>
      <c r="F42" s="104"/>
      <c r="G42" s="26">
        <f>(G40+G41)*'Fane 15. Nøgletal'!C25</f>
        <v>457916.37515005522</v>
      </c>
      <c r="H42" s="14" t="s">
        <v>3</v>
      </c>
      <c r="I42" s="1"/>
    </row>
    <row r="43" spans="1:9" x14ac:dyDescent="0.25">
      <c r="A43" s="1"/>
      <c r="B43" s="43"/>
      <c r="C43" s="44"/>
      <c r="D43" s="44"/>
      <c r="E43" s="44"/>
      <c r="F43" s="44"/>
      <c r="G43" s="44"/>
      <c r="H43" s="22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75" t="s">
        <v>128</v>
      </c>
      <c r="C45" s="76"/>
      <c r="D45" s="76"/>
      <c r="E45" s="76"/>
      <c r="F45" s="76"/>
      <c r="G45" s="76"/>
      <c r="H45" s="77"/>
      <c r="I45" s="1"/>
    </row>
    <row r="46" spans="1:9" x14ac:dyDescent="0.25">
      <c r="A46" s="1"/>
      <c r="B46" s="102" t="s">
        <v>125</v>
      </c>
      <c r="C46" s="103"/>
      <c r="D46" s="103"/>
      <c r="E46" s="103"/>
      <c r="F46" s="104"/>
      <c r="G46" s="26">
        <f>(G40-G42)*(1+'Fane 15. Nøgletal'!C12)</f>
        <v>22879929.059285056</v>
      </c>
      <c r="H46" s="14" t="s">
        <v>3</v>
      </c>
      <c r="I46" s="1"/>
    </row>
    <row r="47" spans="1:9" x14ac:dyDescent="0.25">
      <c r="A47" s="1"/>
      <c r="B47" s="102" t="s">
        <v>149</v>
      </c>
      <c r="C47" s="103"/>
      <c r="D47" s="103"/>
      <c r="E47" s="103"/>
      <c r="F47" s="104"/>
      <c r="G47" s="26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2" t="s">
        <v>104</v>
      </c>
      <c r="C48" s="103"/>
      <c r="D48" s="103"/>
      <c r="E48" s="103"/>
      <c r="F48" s="104"/>
      <c r="G48" s="26">
        <f>(G46+G47)*'Fane 15. Nøgletal'!C25</f>
        <v>457598.58118570113</v>
      </c>
      <c r="H48" s="14" t="s">
        <v>3</v>
      </c>
      <c r="I48" s="1"/>
    </row>
    <row r="49" spans="1:9" x14ac:dyDescent="0.25">
      <c r="A49" s="1"/>
      <c r="B49" s="43"/>
      <c r="C49" s="44"/>
      <c r="D49" s="44"/>
      <c r="E49" s="44"/>
      <c r="F49" s="44"/>
      <c r="G49" s="44"/>
      <c r="H49" s="22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rAkmkV2qjtGa2i24nVa1WcAtEnXuofi/0/al3q22AmRA0ZJjsWjerej0TpIy05OdAL0T2wmqGCW0ukDMzLfWA==" saltValue="1mhHgdhf9JHVC5tAoVh01w==" spinCount="100000" sheet="1" objects="1" scenarios="1"/>
  <mergeCells count="34">
    <mergeCell ref="B12:F12"/>
    <mergeCell ref="B1:H3"/>
    <mergeCell ref="B4:H4"/>
    <mergeCell ref="B5:F5"/>
    <mergeCell ref="B7:F7"/>
    <mergeCell ref="B11:F11"/>
    <mergeCell ref="B10:H10"/>
    <mergeCell ref="B6:F6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9" t="s">
        <v>234</v>
      </c>
      <c r="C2" s="109"/>
      <c r="D2" s="109"/>
      <c r="E2" s="109"/>
      <c r="F2" s="109"/>
      <c r="G2" s="109"/>
      <c r="H2" s="109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75" t="s">
        <v>98</v>
      </c>
      <c r="C4" s="76"/>
      <c r="D4" s="76"/>
      <c r="E4" s="76"/>
      <c r="F4" s="76"/>
      <c r="G4" s="76"/>
      <c r="H4" s="77"/>
      <c r="I4" s="1"/>
    </row>
    <row r="5" spans="1:9" x14ac:dyDescent="0.25">
      <c r="A5" s="1"/>
      <c r="B5" s="102" t="s">
        <v>105</v>
      </c>
      <c r="C5" s="103"/>
      <c r="D5" s="103"/>
      <c r="E5" s="103"/>
      <c r="F5" s="104"/>
      <c r="G5" s="26">
        <v>15257255</v>
      </c>
      <c r="H5" s="14" t="s">
        <v>3</v>
      </c>
      <c r="I5" s="1"/>
    </row>
    <row r="6" spans="1:9" x14ac:dyDescent="0.25">
      <c r="A6" s="1"/>
      <c r="B6" s="102" t="s">
        <v>99</v>
      </c>
      <c r="C6" s="103"/>
      <c r="D6" s="103"/>
      <c r="E6" s="103"/>
      <c r="F6" s="104"/>
      <c r="G6" s="26">
        <f>G5*'Fane 15. Nøgletal'!C17</f>
        <v>138841.02050000001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75" t="s">
        <v>106</v>
      </c>
      <c r="C9" s="76"/>
      <c r="D9" s="76"/>
      <c r="E9" s="76"/>
      <c r="F9" s="76"/>
      <c r="G9" s="76"/>
      <c r="H9" s="77"/>
      <c r="I9" s="1"/>
    </row>
    <row r="10" spans="1:9" x14ac:dyDescent="0.2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15382986.224141251</v>
      </c>
      <c r="H10" s="14" t="s">
        <v>3</v>
      </c>
      <c r="I10" s="1"/>
    </row>
    <row r="11" spans="1:9" x14ac:dyDescent="0.25">
      <c r="A11" s="1"/>
      <c r="B11" s="102" t="s">
        <v>257</v>
      </c>
      <c r="C11" s="103"/>
      <c r="D11" s="103"/>
      <c r="E11" s="103"/>
      <c r="F11" s="104"/>
      <c r="G11" s="26">
        <v>154222.37654257682</v>
      </c>
      <c r="H11" s="14" t="s">
        <v>3</v>
      </c>
      <c r="I11" s="1"/>
    </row>
    <row r="12" spans="1:9" x14ac:dyDescent="0.25">
      <c r="A12" s="1"/>
      <c r="B12" s="108" t="s">
        <v>108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275008.59223210375</v>
      </c>
      <c r="H13" s="14" t="s">
        <v>3</v>
      </c>
      <c r="I13" s="1"/>
    </row>
    <row r="14" spans="1:9" x14ac:dyDescent="0.25">
      <c r="A14" s="1"/>
      <c r="B14" s="43"/>
      <c r="C14" s="44"/>
      <c r="D14" s="44"/>
      <c r="E14" s="44"/>
      <c r="F14" s="44"/>
      <c r="G14" s="4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75" t="s">
        <v>110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102" t="s">
        <v>111</v>
      </c>
      <c r="C17" s="103"/>
      <c r="D17" s="103"/>
      <c r="E17" s="103"/>
      <c r="F17" s="104"/>
      <c r="G17" s="26">
        <f>(G10+G11+G12-G13)*(1+'Fane 15. Nøgletal'!C10)</f>
        <v>15529288.508599631</v>
      </c>
      <c r="H17" s="14" t="s">
        <v>3</v>
      </c>
      <c r="I17" s="1"/>
    </row>
    <row r="18" spans="1:9" x14ac:dyDescent="0.25">
      <c r="A18" s="1"/>
      <c r="B18" s="108" t="s">
        <v>112</v>
      </c>
      <c r="C18" s="106"/>
      <c r="D18" s="106"/>
      <c r="E18" s="106"/>
      <c r="F18" s="107"/>
      <c r="G18" s="26">
        <v>510373.98690110986</v>
      </c>
      <c r="H18" s="14" t="s">
        <v>3</v>
      </c>
      <c r="I18" s="1"/>
    </row>
    <row r="19" spans="1:9" x14ac:dyDescent="0.2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279308.66028825316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75" t="s">
        <v>114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102" t="s">
        <v>115</v>
      </c>
      <c r="C23" s="103"/>
      <c r="D23" s="103"/>
      <c r="E23" s="103"/>
      <c r="F23" s="104"/>
      <c r="G23" s="26">
        <f>G17*(1-'Fane 15. Nøgletal'!C18)*(1+'Fane 15. Nøgletal'!C10)+G18*(1-'Fane 15. Nøgletal'!C19)*(1+'Fane 15. Nøgletal'!C11)</f>
        <v>16035856.467088778</v>
      </c>
      <c r="H23" s="14" t="s">
        <v>3</v>
      </c>
      <c r="I23" s="1"/>
    </row>
    <row r="24" spans="1:9" x14ac:dyDescent="0.25">
      <c r="A24" s="1"/>
      <c r="B24" s="105" t="s">
        <v>245</v>
      </c>
      <c r="C24" s="106"/>
      <c r="D24" s="106"/>
      <c r="E24" s="106"/>
      <c r="F24" s="107"/>
      <c r="G24" s="26">
        <f>G18*(1-'Fane 15. Nøgletal'!C19)*(1+'Fane 15. Nøgletal'!C11)</f>
        <v>514484.01330640487</v>
      </c>
      <c r="H24" s="14" t="s">
        <v>3</v>
      </c>
      <c r="I24" s="1"/>
    </row>
    <row r="25" spans="1:9" x14ac:dyDescent="0.25">
      <c r="A25" s="1"/>
      <c r="B25" s="108" t="s">
        <v>116</v>
      </c>
      <c r="C25" s="106"/>
      <c r="D25" s="106"/>
      <c r="E25" s="106"/>
      <c r="F25" s="107"/>
      <c r="G25" s="26">
        <f>('Fane 2.1. Økonomisk ramme 2020'!C13+'Fane 2.1. Økonomisk ramme 2020'!C15+'Fane 2.1. Økonomisk ramme 2020'!C17)*(1+'Fane 15. Nøgletal'!C12)</f>
        <v>180198.52880074157</v>
      </c>
      <c r="H25" s="14" t="s">
        <v>3</v>
      </c>
      <c r="I25" s="1"/>
    </row>
    <row r="26" spans="1:9" x14ac:dyDescent="0.25">
      <c r="A26" s="1"/>
      <c r="B26" s="102" t="s">
        <v>117</v>
      </c>
      <c r="C26" s="103"/>
      <c r="D26" s="103"/>
      <c r="E26" s="103"/>
      <c r="F26" s="104"/>
      <c r="G26" s="26">
        <f>(G23-G24)*'Fane 15. Nøgletal'!C18+G24*'Fane 15. Nøgletal'!C19+G25*'Fane 15. Nøgletal'!C20</f>
        <v>284321.94156565476</v>
      </c>
      <c r="H26" s="14" t="s">
        <v>3</v>
      </c>
      <c r="I26" s="1"/>
    </row>
    <row r="27" spans="1:9" x14ac:dyDescent="0.25">
      <c r="A27" s="1"/>
      <c r="B27" s="43"/>
      <c r="C27" s="44"/>
      <c r="D27" s="44"/>
      <c r="E27" s="44"/>
      <c r="F27" s="44"/>
      <c r="G27" s="44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75" t="s">
        <v>118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102" t="s">
        <v>119</v>
      </c>
      <c r="C30" s="103"/>
      <c r="D30" s="103"/>
      <c r="E30" s="103"/>
      <c r="F30" s="104"/>
      <c r="G30" s="26">
        <f>(G23-G24)*(1-'Fane 15. Nøgletal'!C18)*(1+'Fane 15. Nøgletal'!C10)+G24*(1-'Fane 15. Nøgletal'!C19)*(1+'Fane 15. Nøgletal'!C11)+G25*(1-'Fane 15. Nøgletal'!C20)*(1+'Fane 15. Nøgletal'!C12)</f>
        <v>16210617.555932378</v>
      </c>
      <c r="H30" s="14" t="s">
        <v>3</v>
      </c>
      <c r="I30" s="1"/>
    </row>
    <row r="31" spans="1:9" x14ac:dyDescent="0.25">
      <c r="A31" s="1"/>
      <c r="B31" s="105" t="s">
        <v>246</v>
      </c>
      <c r="C31" s="106"/>
      <c r="D31" s="106"/>
      <c r="E31" s="106"/>
      <c r="F31" s="107"/>
      <c r="G31" s="26">
        <f>G24*(1-'Fane 15. Nøgletal'!C19)*(1+'Fane 15. Nøgletal'!C11)</f>
        <v>518627.13763104088</v>
      </c>
      <c r="H31" s="14" t="s">
        <v>3</v>
      </c>
      <c r="I31" s="1"/>
    </row>
    <row r="32" spans="1:9" x14ac:dyDescent="0.25">
      <c r="A32" s="1"/>
      <c r="B32" s="105" t="s">
        <v>247</v>
      </c>
      <c r="C32" s="106"/>
      <c r="D32" s="106"/>
      <c r="E32" s="106"/>
      <c r="F32" s="107"/>
      <c r="G32" s="26">
        <f>G25*(1-'Fane 15. Nøgletal'!C20)*(1+'Fane 15. Nøgletal'!C12)</f>
        <v>178529.9841272817</v>
      </c>
      <c r="H32" s="14" t="s">
        <v>3</v>
      </c>
      <c r="I32" s="1"/>
    </row>
    <row r="33" spans="1:9" x14ac:dyDescent="0.25">
      <c r="A33" s="1"/>
      <c r="B33" s="102" t="s">
        <v>153</v>
      </c>
      <c r="C33" s="103"/>
      <c r="D33" s="103"/>
      <c r="E33" s="103"/>
      <c r="F33" s="104"/>
      <c r="G33" s="26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2" t="s">
        <v>120</v>
      </c>
      <c r="C34" s="103"/>
      <c r="D34" s="103"/>
      <c r="E34" s="103"/>
      <c r="F34" s="104"/>
      <c r="G34" s="26">
        <f>(G30-SUM(G31:G32))*'Fane 15. Nøgletal'!C18+G31*'Fane 15. Nøgletal'!C19+(G32+G33)*'Fane 15. Nøgletal'!C20</f>
        <v>284170.55733148567</v>
      </c>
      <c r="H34" s="14" t="s">
        <v>3</v>
      </c>
      <c r="I34" s="1"/>
    </row>
    <row r="35" spans="1:9" x14ac:dyDescent="0.25">
      <c r="A35" s="1"/>
      <c r="B35" s="43"/>
      <c r="C35" s="44"/>
      <c r="D35" s="44"/>
      <c r="E35" s="44"/>
      <c r="F35" s="44"/>
      <c r="G35" s="4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75" t="s">
        <v>129</v>
      </c>
      <c r="C37" s="76"/>
      <c r="D37" s="76"/>
      <c r="E37" s="76"/>
      <c r="F37" s="76"/>
      <c r="G37" s="76"/>
      <c r="H37" s="77"/>
      <c r="I37" s="1"/>
    </row>
    <row r="38" spans="1:9" x14ac:dyDescent="0.25">
      <c r="A38" s="1"/>
      <c r="B38" s="102" t="s">
        <v>124</v>
      </c>
      <c r="C38" s="103"/>
      <c r="D38" s="103"/>
      <c r="E38" s="103"/>
      <c r="F38" s="104"/>
      <c r="G38" s="26">
        <f>(SUM(G30,G33)-G34)*(1+'Fane 15. Nøgletal'!C12)</f>
        <v>16240198.00447333</v>
      </c>
      <c r="H38" s="14" t="s">
        <v>3</v>
      </c>
      <c r="I38" s="1"/>
    </row>
    <row r="39" spans="1:9" x14ac:dyDescent="0.25">
      <c r="A39" s="1"/>
      <c r="B39" s="102" t="s">
        <v>154</v>
      </c>
      <c r="C39" s="103"/>
      <c r="D39" s="103"/>
      <c r="E39" s="103"/>
      <c r="F39" s="104"/>
      <c r="G39" s="26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2" t="s">
        <v>121</v>
      </c>
      <c r="C40" s="103"/>
      <c r="D40" s="103"/>
      <c r="E40" s="103"/>
      <c r="F40" s="104"/>
      <c r="G40" s="26">
        <f>(G38+G39)*'Fane 15. Nøgletal'!C20</f>
        <v>461221.62332704262</v>
      </c>
      <c r="H40" s="14" t="s">
        <v>3</v>
      </c>
      <c r="I40" s="1"/>
    </row>
    <row r="41" spans="1:9" x14ac:dyDescent="0.25">
      <c r="A41" s="1"/>
      <c r="B41" s="43"/>
      <c r="C41" s="44"/>
      <c r="D41" s="44"/>
      <c r="E41" s="44"/>
      <c r="F41" s="44"/>
      <c r="G41" s="4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75" t="s">
        <v>130</v>
      </c>
      <c r="C43" s="76"/>
      <c r="D43" s="76"/>
      <c r="E43" s="76"/>
      <c r="F43" s="76"/>
      <c r="G43" s="76"/>
      <c r="H43" s="77"/>
      <c r="I43" s="1"/>
    </row>
    <row r="44" spans="1:9" x14ac:dyDescent="0.25">
      <c r="A44" s="1"/>
      <c r="B44" s="102" t="s">
        <v>123</v>
      </c>
      <c r="C44" s="103"/>
      <c r="D44" s="103"/>
      <c r="E44" s="103"/>
      <c r="F44" s="104"/>
      <c r="G44" s="26">
        <f>(G38+G39-G40)*(1+'Fane 15. Nøgletal'!C12)</f>
        <v>16089822.21585487</v>
      </c>
      <c r="H44" s="14" t="s">
        <v>3</v>
      </c>
      <c r="I44" s="1"/>
    </row>
    <row r="45" spans="1:9" x14ac:dyDescent="0.25">
      <c r="A45" s="1"/>
      <c r="B45" s="102" t="s">
        <v>155</v>
      </c>
      <c r="C45" s="103"/>
      <c r="D45" s="103"/>
      <c r="E45" s="103"/>
      <c r="F45" s="104"/>
      <c r="G45" s="26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2" t="s">
        <v>122</v>
      </c>
      <c r="C46" s="103"/>
      <c r="D46" s="103"/>
      <c r="E46" s="103"/>
      <c r="F46" s="104"/>
      <c r="G46" s="26">
        <f>(G44+G45)*'Fane 15. Nøgletal'!C20</f>
        <v>456950.95093027834</v>
      </c>
      <c r="H46" s="14" t="s">
        <v>3</v>
      </c>
      <c r="I46" s="1"/>
    </row>
    <row r="47" spans="1:9" x14ac:dyDescent="0.25">
      <c r="A47" s="1"/>
      <c r="B47" s="43"/>
      <c r="C47" s="44"/>
      <c r="D47" s="44"/>
      <c r="E47" s="44"/>
      <c r="F47" s="44"/>
      <c r="G47" s="4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+TQ5VyJOXq7U114z2FC/+Qoy0+1xSQOrq1S3Z1xJzJjKubBn1XrQ3/SWcnk10Zhx5bKn9fb9uJ6V4AvnPOrTw==" saltValue="a42Ch2LRmjaSYhzhl1+FjA==" spinCount="100000" sheet="1" objects="1" scenarios="1"/>
  <mergeCells count="32"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102" t="s">
        <v>131</v>
      </c>
      <c r="C9" s="103"/>
      <c r="D9" s="103"/>
      <c r="E9" s="103"/>
      <c r="F9" s="104"/>
      <c r="G9" s="25">
        <v>8.5596816022309285E-4</v>
      </c>
      <c r="H9" s="14"/>
      <c r="I9" s="1"/>
    </row>
    <row r="10" spans="1:9" x14ac:dyDescent="0.25">
      <c r="A10" s="1"/>
      <c r="B10" s="102" t="s">
        <v>202</v>
      </c>
      <c r="C10" s="103"/>
      <c r="D10" s="103"/>
      <c r="E10" s="103"/>
      <c r="F10" s="104"/>
      <c r="G10" s="25">
        <v>0</v>
      </c>
      <c r="H10" s="14"/>
      <c r="I10" s="1"/>
    </row>
    <row r="11" spans="1:9" x14ac:dyDescent="0.25">
      <c r="A11" s="1"/>
      <c r="B11" s="43"/>
      <c r="C11" s="44"/>
      <c r="D11" s="44"/>
      <c r="E11" s="44"/>
      <c r="F11" s="44"/>
      <c r="G11" s="44"/>
      <c r="H11" s="22"/>
      <c r="I11" s="1"/>
    </row>
    <row r="12" spans="1:9" ht="40.5" customHeight="1" x14ac:dyDescent="0.25">
      <c r="A12" s="1"/>
      <c r="B12" s="78" t="s">
        <v>212</v>
      </c>
      <c r="C12" s="79"/>
      <c r="D12" s="79"/>
      <c r="E12" s="79"/>
      <c r="F12" s="79"/>
      <c r="G12" s="79"/>
      <c r="H12" s="80"/>
      <c r="I12" s="1"/>
    </row>
    <row r="13" spans="1:9" ht="30.75" customHeight="1" x14ac:dyDescent="0.25">
      <c r="A13" s="20"/>
      <c r="B13" s="110"/>
      <c r="C13" s="110"/>
      <c r="D13" s="110"/>
      <c r="E13" s="110"/>
      <c r="F13" s="110"/>
      <c r="G13" s="110"/>
      <c r="H13" s="110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fiddMlFmAPh2e94+y8sXujWNNcPwNat/68sIsyTlD4bJ0rkPYf2nOBoRxbzqDiRjwjyypp7mKABUkY+VKJjfCw==" saltValue="yDEUAupzAmp5S/jliM3ngQ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2019-08-27T10:56:15Z</dcterms:modified>
</cp:coreProperties>
</file>