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erning Vand AS (S03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38" i="11" l="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9" i="40" l="1"/>
  <c r="E16" i="40" l="1"/>
  <c r="E12" i="40"/>
  <c r="E39" i="11" l="1"/>
  <c r="E40" i="11"/>
  <c r="E10" i="11"/>
  <c r="C11" i="2" l="1"/>
  <c r="C11" i="15" s="1"/>
  <c r="C10" i="2"/>
  <c r="C10" i="15" s="1"/>
  <c r="G7" i="30" l="1"/>
  <c r="E23" i="27" l="1"/>
  <c r="E24" i="27" s="1"/>
  <c r="E29" i="20" l="1"/>
  <c r="E23" i="20"/>
  <c r="E17" i="20"/>
  <c r="E11" i="20"/>
  <c r="E21" i="32" l="1"/>
  <c r="E12" i="32"/>
  <c r="E26" i="32" l="1"/>
  <c r="E20" i="40" l="1"/>
  <c r="C34" i="2" s="1"/>
  <c r="E28" i="20"/>
  <c r="E16" i="20"/>
  <c r="E22" i="20"/>
  <c r="E24" i="20" s="1"/>
  <c r="C19" i="22" s="1"/>
  <c r="E10" i="20"/>
  <c r="E12" i="20" s="1"/>
  <c r="E18" i="20" l="1"/>
  <c r="C24" i="15" s="1"/>
  <c r="C26" i="2"/>
  <c r="E30" i="20"/>
  <c r="C19" i="23" s="1"/>
  <c r="E29" i="21" l="1"/>
  <c r="E30" i="21" s="1"/>
  <c r="G45" i="36" s="1"/>
  <c r="C29" i="21"/>
  <c r="C30" i="21" s="1"/>
  <c r="G47" i="30" s="1"/>
  <c r="E23" i="21"/>
  <c r="E24" i="21" s="1"/>
  <c r="G39" i="36" s="1"/>
  <c r="C23" i="21"/>
  <c r="C24" i="21" s="1"/>
  <c r="C9" i="22" s="1"/>
  <c r="E17" i="21"/>
  <c r="E18" i="21" s="1"/>
  <c r="G33" i="36" s="1"/>
  <c r="C17" i="21"/>
  <c r="C18" i="21" s="1"/>
  <c r="G35" i="30" s="1"/>
  <c r="G41" i="30" l="1"/>
  <c r="C10" i="23"/>
  <c r="C10" i="22"/>
  <c r="C14" i="15"/>
  <c r="C9" i="23"/>
  <c r="C15" i="15"/>
  <c r="E35" i="39"/>
  <c r="C35" i="39"/>
  <c r="E27" i="39"/>
  <c r="C27" i="39"/>
  <c r="E19" i="39"/>
  <c r="C19" i="39"/>
  <c r="E11" i="39"/>
  <c r="C11" i="39"/>
  <c r="E13" i="39" l="1"/>
  <c r="E12" i="39"/>
  <c r="C21" i="39"/>
  <c r="C20" i="39"/>
  <c r="C22" i="39" s="1"/>
  <c r="C26" i="15" s="1"/>
  <c r="C37" i="39"/>
  <c r="C36" i="39"/>
  <c r="E21" i="39"/>
  <c r="E20" i="39"/>
  <c r="E37" i="39"/>
  <c r="E36" i="39"/>
  <c r="C13" i="39"/>
  <c r="C12" i="39"/>
  <c r="C29" i="39"/>
  <c r="C28" i="39"/>
  <c r="E29" i="39"/>
  <c r="E28" i="39"/>
  <c r="C30" i="39" l="1"/>
  <c r="C21" i="22" s="1"/>
  <c r="C38" i="39"/>
  <c r="C21" i="23" s="1"/>
  <c r="E22" i="39"/>
  <c r="C27" i="15" s="1"/>
  <c r="E30" i="39"/>
  <c r="C22" i="22" s="1"/>
  <c r="C23" i="22" s="1"/>
  <c r="E38" i="39"/>
  <c r="C22" i="23" s="1"/>
  <c r="E14" i="39"/>
  <c r="C29" i="2" s="1"/>
  <c r="C14" i="39"/>
  <c r="C28" i="2" s="1"/>
  <c r="G12" i="10"/>
  <c r="G14" i="10" s="1"/>
  <c r="C23" i="23" l="1"/>
  <c r="C28" i="15"/>
  <c r="C30" i="2"/>
  <c r="G24" i="36"/>
  <c r="G31" i="36" s="1"/>
  <c r="G26" i="30"/>
  <c r="G33" i="30" s="1"/>
  <c r="G6" i="36" l="1"/>
  <c r="G10" i="36" l="1"/>
  <c r="G13" i="36" l="1"/>
  <c r="G17" i="36" s="1"/>
  <c r="G23" i="36" s="1"/>
  <c r="G11" i="30"/>
  <c r="G15" i="30" l="1"/>
  <c r="G19" i="30" s="1"/>
  <c r="G25" i="30" s="1"/>
  <c r="G19" i="36"/>
  <c r="E19" i="27" s="1"/>
  <c r="G21" i="30" l="1"/>
  <c r="E18" i="27" s="1"/>
  <c r="E16" i="27" l="1"/>
  <c r="E17" i="27" s="1"/>
  <c r="E20" i="27" l="1"/>
  <c r="E31" i="27" s="1"/>
  <c r="C9" i="2" l="1"/>
  <c r="E28" i="32"/>
  <c r="C25" i="22" s="1"/>
  <c r="C25" i="23" l="1"/>
  <c r="F41" i="11" l="1"/>
  <c r="C10" i="37" s="1"/>
  <c r="C11" i="37" s="1"/>
  <c r="C12" i="37" s="1"/>
  <c r="C12" i="2" s="1"/>
  <c r="G41" i="11"/>
  <c r="E11" i="21" l="1"/>
  <c r="C11" i="21"/>
  <c r="E11" i="29"/>
  <c r="C11" i="29"/>
  <c r="C14" i="19"/>
  <c r="C15" i="19" s="1"/>
  <c r="E12" i="29" l="1"/>
  <c r="C17" i="2" s="1"/>
  <c r="C12" i="29"/>
  <c r="C16" i="2" s="1"/>
  <c r="C12" i="21"/>
  <c r="C14" i="2" s="1"/>
  <c r="E12" i="21"/>
  <c r="C15" i="2" s="1"/>
  <c r="C17" i="22"/>
  <c r="C22" i="15"/>
  <c r="C24" i="2"/>
  <c r="C17" i="23"/>
  <c r="C12" i="15" l="1"/>
  <c r="G27" i="30"/>
  <c r="G34" i="30" l="1"/>
  <c r="G32" i="30"/>
  <c r="G36" i="30" s="1"/>
  <c r="G40" i="30" s="1"/>
  <c r="G28" i="30"/>
  <c r="C20" i="2" s="1"/>
  <c r="E41" i="11" l="1"/>
  <c r="E10" i="37" s="1"/>
  <c r="E11" i="37" s="1"/>
  <c r="E12" i="37" s="1"/>
  <c r="C13" i="2" s="1"/>
  <c r="C13" i="15" s="1"/>
  <c r="C32" i="2"/>
  <c r="G25" i="36" l="1"/>
  <c r="G30" i="36" s="1"/>
  <c r="C18" i="2"/>
  <c r="C19" i="2" s="1"/>
  <c r="C18" i="15"/>
  <c r="G32" i="36" l="1"/>
  <c r="G26" i="36"/>
  <c r="G42" i="30"/>
  <c r="G34" i="36" l="1"/>
  <c r="C13" i="22"/>
  <c r="G38" i="36" l="1"/>
  <c r="G40" i="36" s="1"/>
  <c r="G46" i="30"/>
  <c r="C21" i="2"/>
  <c r="C22" i="2" l="1"/>
  <c r="G48" i="30"/>
  <c r="C13" i="23" s="1"/>
  <c r="G44" i="36"/>
  <c r="G46" i="36" s="1"/>
  <c r="C35" i="2" l="1"/>
  <c r="C9" i="15"/>
  <c r="C16" i="15" s="1"/>
  <c r="C19" i="15"/>
  <c r="C14" i="22"/>
  <c r="C17" i="15" l="1"/>
  <c r="C20" i="15" l="1"/>
  <c r="C14" i="23"/>
  <c r="C29" i="15" l="1"/>
  <c r="C8" i="22"/>
  <c r="C11" i="22" s="1"/>
  <c r="C12" i="22" l="1"/>
  <c r="C15" i="22" s="1"/>
  <c r="C26" i="22" s="1"/>
  <c r="C8" i="23" l="1"/>
  <c r="C11" i="23" s="1"/>
  <c r="C12" i="23" s="1"/>
  <c r="C15" i="23" l="1"/>
  <c r="C26" i="23" s="1"/>
</calcChain>
</file>

<file path=xl/sharedStrings.xml><?xml version="1.0" encoding="utf-8"?>
<sst xmlns="http://schemas.openxmlformats.org/spreadsheetml/2006/main" count="750" uniqueCount="281">
  <si>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</si>
  <si>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</si>
  <si>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</si>
  <si>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</si>
  <si>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</si>
  <si>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</si>
  <si>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</si>
  <si>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</si>
  <si>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</si>
  <si>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</si>
  <si>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</si>
  <si>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</si>
  <si>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</si>
  <si>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</si>
  <si>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</si>
  <si>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</si>
  <si>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</si>
  <si>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</si>
  <si>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</si>
  <si>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</si>
  <si>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</si>
  <si>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</si>
  <si>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</si>
  <si>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</si>
  <si>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</si>
  <si>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</si>
  <si>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</si>
  <si>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</si>
  <si>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</si>
  <si>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</si>
  <si>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</si>
  <si>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</si>
  <si>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</si>
  <si>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</si>
  <si>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</si>
  <si>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</si>
  <si>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</si>
  <si>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</si>
  <si>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</si>
  <si>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</si>
  <si>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</si>
  <si>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</si>
  <si>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</si>
  <si>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</si>
  <si>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</si>
  <si>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</si>
  <si>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</si>
  <si>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</si>
  <si>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</si>
  <si>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</si>
  <si>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</si>
  <si>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</si>
  <si>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</si>
  <si>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</si>
  <si>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</si>
  <si>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</si>
  <si>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</si>
  <si>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</si>
  <si>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</si>
  <si>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</si>
  <si>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</si>
  <si>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</si>
  <si>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</si>
  <si>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</si>
  <si>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</si>
  <si>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</si>
  <si>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</si>
  <si>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</si>
  <si>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</si>
  <si>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</si>
  <si>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</si>
  <si>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</si>
  <si>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</si>
  <si>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</si>
  <si>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</si>
  <si>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</si>
  <si>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</si>
  <si>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</si>
  <si>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</si>
  <si>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</si>
  <si>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</si>
  <si>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</si>
  <si>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</si>
  <si>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</si>
  <si>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</si>
  <si>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</si>
  <si>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</si>
  <si>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</si>
  <si>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</si>
  <si>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</si>
  <si>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</si>
  <si>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</si>
  <si>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</si>
  <si>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</si>
  <si>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</si>
  <si>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</si>
  <si>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</si>
  <si>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</si>
  <si>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</si>
  <si>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</si>
  <si>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</si>
  <si>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</si>
  <si>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</si>
  <si>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</si>
  <si>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</si>
  <si>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</si>
  <si>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</si>
  <si>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</si>
  <si>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</si>
  <si>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</si>
  <si>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</si>
  <si>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</si>
  <si>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</si>
  <si>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</si>
  <si>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</si>
  <si>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</si>
  <si>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</si>
  <si>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</si>
  <si>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</si>
  <si>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</si>
  <si>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</si>
  <si>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</si>
  <si>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</si>
  <si>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</si>
  <si>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</si>
  <si>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</si>
  <si>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</si>
  <si>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</si>
  <si>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</si>
  <si>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</si>
  <si>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</si>
  <si>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</si>
  <si>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</si>
  <si>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</si>
  <si>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</si>
  <si>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</si>
  <si>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</si>
  <si>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</si>
  <si>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</si>
  <si>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</si>
  <si>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</si>
  <si>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</si>
  <si>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</si>
  <si>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</si>
  <si>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</si>
  <si>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</si>
  <si>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</si>
  <si>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</si>
  <si>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</si>
  <si>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</si>
  <si>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</si>
  <si>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</si>
  <si>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</si>
  <si>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</si>
  <si>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</si>
  <si>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</si>
  <si>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</si>
  <si>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</si>
  <si>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</si>
  <si>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</si>
  <si>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</si>
  <si>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</si>
  <si>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</si>
  <si>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</si>
  <si>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</si>
  <si>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</si>
  <si>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</si>
  <si>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</si>
  <si>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</si>
  <si>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</si>
  <si>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</si>
  <si>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</si>
  <si>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</si>
  <si>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</si>
  <si>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</si>
  <si>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</si>
  <si>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</si>
  <si>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</si>
  <si>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</si>
  <si>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</si>
  <si>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</si>
  <si>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</si>
  <si>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</si>
  <si>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</si>
  <si>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</si>
  <si>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</si>
  <si>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</si>
  <si>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</si>
  <si>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</si>
  <si>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</si>
  <si>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</si>
  <si>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</si>
  <si>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</si>
  <si>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</si>
  <si>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</si>
  <si>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</si>
  <si>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</si>
  <si>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</si>
  <si>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</si>
  <si>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</si>
  <si>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</si>
  <si>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Til indregning i de økonomiske rammer for 2022-2025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</si>
  <si>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</si>
  <si>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</si>
  <si>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</si>
  <si>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 xml:space="preserve"> - Heraf nye omkostninger i ØR19 - Drift</t>
  </si>
  <si>
    <t xml:space="preserve"> - Heraf nye omkostninger i ØR19 - Anlæg</t>
  </si>
  <si>
    <t>Nøgletal</t>
  </si>
  <si>
    <t>Fane 15: Nøgletal</t>
  </si>
  <si>
    <t xml:space="preserve">Note: Denne opgørelse er taget fra jeres statusmeddelelse for den økonomiske ramme for 2019. I kan derfor ikke komme med høringssvar til denne opgørelse. </t>
  </si>
  <si>
    <t>Fradrag i den økonomiske ramme for 2022-2025 i alt</t>
  </si>
  <si>
    <t>Fradrag for kontrol med overholdelse af indtægtsrammen</t>
  </si>
  <si>
    <t xml:space="preserve">Note: Beregningerne af jeres individuelle effektiviseringskrav er taget fra jeres afgørelse til den økonomiske ramme for henholdsvis 2017 og 2018-2021. I kan derfor ikke komme med høringssvar til denne opgørelse. </t>
  </si>
  <si>
    <t xml:space="preserve"> - Heraf nye omkostninger i ØR20 - Drift</t>
  </si>
  <si>
    <t>Til statusmeddelelse for 2020 og 2021</t>
  </si>
  <si>
    <t>Fane 2.3: Samlet økonomisk ramme for 2022</t>
  </si>
  <si>
    <t>Fane 2.4: Samlet økonomisk ramme for 2023</t>
  </si>
  <si>
    <t xml:space="preserve"> - Heraf nye omkostninger i ØR20 - Anlæg</t>
  </si>
  <si>
    <t>Tidligere godkendt tillæg indregnet i den økonomiske ramme for 2018</t>
  </si>
  <si>
    <t>Faktisk omkostning til medfinansiering af klimatilpasningsprojekter i 2018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</si>
  <si>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</si>
  <si>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</si>
  <si>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</si>
  <si>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</si>
  <si>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</si>
  <si>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</si>
  <si>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</si>
  <si>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</si>
  <si>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14: Historisk over- eller underdækning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</si>
  <si>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</si>
  <si>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</si>
  <si>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</si>
  <si>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</si>
  <si>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</si>
  <si>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</si>
  <si>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</si>
  <si>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ØR2017</t>
  </si>
  <si>
    <t>Prisudvikling til brug for ØR2018-2021</t>
  </si>
  <si>
    <t>Generelt effektiviseringskrav til brug for anlægsomkostninger i ØR2017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</si>
  <si>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</si>
  <si>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</si>
  <si>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</si>
  <si>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</si>
  <si>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</si>
  <si>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</si>
  <si>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-Heraf nye anlægsomkostninger til de økonomiske rammer for 2019</t>
  </si>
  <si>
    <t>- Heraf nye anlægsomkostninger til de økonomiske rammer for 2019</t>
  </si>
  <si>
    <t>- Heraf nye anlægsomkostninger til de økonomiske rammer for 2020</t>
  </si>
  <si>
    <t>- Heraf nye driftsomkostninger til de økonomiske rammer for 2019</t>
  </si>
  <si>
    <t>- Heraf nye driftsomkostninger til de økonomiske rammer for 2020</t>
  </si>
  <si>
    <t>Periodevise driftsomkostninger i den økonomiske ramme for 2018</t>
  </si>
  <si>
    <t>Effektiviseringskrav af periodevise driftsomkostninger</t>
  </si>
  <si>
    <t>Periodevise driftsomkostninger i den økonomiske ramme for 2018 i alt</t>
  </si>
  <si>
    <t>Periodevise driftsomkostninger i den økonomiske ramme for 2017</t>
  </si>
  <si>
    <t>Fane 3: Videreførte omkostninger fra den økonomiske ramme for 2019</t>
  </si>
  <si>
    <t>Fane 3</t>
  </si>
  <si>
    <t>Korrektion af driftsomkostninger i grundlaget</t>
  </si>
  <si>
    <t>Korrektion af anlægsomkostninger i grundlaget</t>
  </si>
  <si>
    <t>Korrektion af tidligere rammer</t>
  </si>
  <si>
    <t>Tillæg/fradrag for korrektion af tidligere rammer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</si>
  <si>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</si>
  <si>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</si>
  <si>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</si>
  <si>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</si>
  <si>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</si>
  <si>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</si>
  <si>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</si>
  <si>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Afgift til Forsyningssekretariatet</t>
  </si>
  <si>
    <t>Køb af ydelser og produkter fra andre vandselskaber reguleret af vandsektorloven</t>
  </si>
  <si>
    <t>Ejendomsskatter</t>
  </si>
  <si>
    <t>Erstatninger</t>
  </si>
  <si>
    <t>Ingen engangstillæg</t>
  </si>
  <si>
    <t>Brønde</t>
  </si>
  <si>
    <t>Ledningsnet ≤ Ø 200 mm</t>
  </si>
  <si>
    <t>Ø 200 mm &lt; Ledningsnet ≤ Ø 500 mm</t>
  </si>
  <si>
    <t>Ø 800 mm &lt; Ledningsnet ≤ Ø 1000 mm</t>
  </si>
  <si>
    <t>Ø 500 mm &lt; Ledningsnet ≤ Ø 800 mm</t>
  </si>
  <si>
    <t>Jordbassin Klasse A</t>
  </si>
  <si>
    <t>Ø 1000 mm &lt; Ledningsnet ≤ Ø 1200 mm</t>
  </si>
  <si>
    <t>Ø 1200 mm &lt; Ledningsnet ≤ Ø 1600 mm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</si>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</sst>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4" t="s">
        <v>4</v>
      </c>
      <c r="E6" s="64"/>
      <c r="F6" s="64"/>
      <c r="G6" s="64"/>
      <c r="H6" s="3"/>
      <c r="I6" s="1"/>
    </row>
    <row r="7" spans="1:9" ht="15" customHeight="1" x14ac:dyDescent="0.25">
      <c r="A7" s="1"/>
      <c r="B7" s="1"/>
      <c r="C7" s="3"/>
      <c r="D7" s="64"/>
      <c r="E7" s="64"/>
      <c r="F7" s="64"/>
      <c r="G7" s="64"/>
      <c r="H7" s="3"/>
      <c r="I7" s="1"/>
    </row>
    <row r="8" spans="1:9" ht="15.75" x14ac:dyDescent="0.25">
      <c r="A8" s="1"/>
      <c r="B8" s="1"/>
      <c r="C8" s="4"/>
      <c r="D8" s="66" t="s">
        <v>214</v>
      </c>
      <c r="E8" s="66"/>
      <c r="F8" s="66"/>
      <c r="G8" s="6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52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23</v>
      </c>
      <c r="D14" s="67" t="s">
        <v>54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51</v>
      </c>
      <c r="D15" s="67" t="s">
        <v>133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53</v>
      </c>
      <c r="D16" s="67" t="s">
        <v>134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255</v>
      </c>
      <c r="D17" s="67" t="s">
        <v>63</v>
      </c>
      <c r="E17" s="68"/>
      <c r="F17" s="68"/>
      <c r="G17" s="69"/>
      <c r="H17" s="1"/>
      <c r="I17" s="1"/>
    </row>
    <row r="18" spans="1:9" x14ac:dyDescent="0.25">
      <c r="A18" s="1"/>
      <c r="B18" s="1"/>
      <c r="C18" s="6" t="s">
        <v>221</v>
      </c>
      <c r="D18" s="70" t="s">
        <v>176</v>
      </c>
      <c r="E18" s="71"/>
      <c r="F18" s="71"/>
      <c r="G18" s="72"/>
      <c r="H18" s="1"/>
      <c r="I18" s="1"/>
    </row>
    <row r="19" spans="1:9" x14ac:dyDescent="0.25">
      <c r="A19" s="1"/>
      <c r="B19" s="1"/>
      <c r="C19" s="6" t="s">
        <v>222</v>
      </c>
      <c r="D19" s="70" t="s">
        <v>177</v>
      </c>
      <c r="E19" s="71"/>
      <c r="F19" s="71"/>
      <c r="G19" s="72"/>
      <c r="H19" s="1"/>
      <c r="I19" s="1"/>
    </row>
    <row r="20" spans="1:9" x14ac:dyDescent="0.25">
      <c r="A20" s="1"/>
      <c r="B20" s="1"/>
      <c r="C20" s="6" t="s">
        <v>7</v>
      </c>
      <c r="D20" s="70" t="s">
        <v>10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223</v>
      </c>
      <c r="D21" s="55" t="s">
        <v>17</v>
      </c>
      <c r="E21" s="56"/>
      <c r="F21" s="56"/>
      <c r="G21" s="57"/>
      <c r="H21" s="1"/>
      <c r="I21" s="1"/>
    </row>
    <row r="22" spans="1:9" x14ac:dyDescent="0.25">
      <c r="A22" s="1"/>
      <c r="B22" s="1"/>
      <c r="C22" s="6" t="s">
        <v>140</v>
      </c>
      <c r="D22" s="58" t="s">
        <v>173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258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55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224</v>
      </c>
      <c r="D25" s="58" t="s">
        <v>141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225</v>
      </c>
      <c r="D26" s="58" t="s">
        <v>142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226</v>
      </c>
      <c r="D27" s="58" t="s">
        <v>143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22</v>
      </c>
      <c r="D28" s="58" t="s">
        <v>56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58</v>
      </c>
      <c r="D29" s="58" t="s">
        <v>57</v>
      </c>
      <c r="E29" s="59"/>
      <c r="F29" s="59"/>
      <c r="G29" s="60"/>
      <c r="H29" s="1"/>
      <c r="I29" s="1"/>
    </row>
    <row r="30" spans="1:9" x14ac:dyDescent="0.25">
      <c r="A30" s="1"/>
      <c r="B30" s="1"/>
      <c r="C30" s="6" t="s">
        <v>59</v>
      </c>
      <c r="D30" s="61" t="s">
        <v>11</v>
      </c>
      <c r="E30" s="62"/>
      <c r="F30" s="62"/>
      <c r="G30" s="63"/>
      <c r="H30" s="1"/>
      <c r="I30" s="1"/>
    </row>
    <row r="31" spans="1:9" x14ac:dyDescent="0.25">
      <c r="A31" s="1"/>
      <c r="B31" s="1"/>
      <c r="C31" s="6" t="s">
        <v>172</v>
      </c>
      <c r="D31" s="52" t="s">
        <v>207</v>
      </c>
      <c r="E31" s="53"/>
      <c r="F31" s="53"/>
      <c r="G31" s="54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1ZacJH3zGD5aU9bS1KRahVIw3PpHQdNQosSrHkgxQXSXRlicuKKpgApBOjSUn84EWF4Md1u8qsejFVRZQzgoug==" saltValue="Jejq7VZ0ZRPBnLmXYUiAkA==" spinCount="100000" sheet="1" objects="1" scenarios="1"/>
  <mergeCells count="22"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  <mergeCell ref="D31:G31"/>
    <mergeCell ref="D21:G21"/>
    <mergeCell ref="D24:G24"/>
    <mergeCell ref="D25:G25"/>
    <mergeCell ref="D28:G28"/>
    <mergeCell ref="D26:G26"/>
    <mergeCell ref="D27:G27"/>
    <mergeCell ref="D23:G23"/>
    <mergeCell ref="D30:G30"/>
    <mergeCell ref="D29:G29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19:G19" location="'Fane 4.2. Gen. krav - anlæg'!A1" display="Generelt effektiviseringskrav på anlæg"/>
    <hyperlink ref="D30:G30" location="'Fane 14. Hist. over-underdæk.'!A1" display="Historisk over- eller underdækning"/>
    <hyperlink ref="D20:G20" location="'Fane 5. Individuelt eff. krav'!A1" display="Individuelt effektiviseringskrav"/>
    <hyperlink ref="D18:G18" location="'Fane 4.1. Gen. krav - drift'!A1" display="Generelt effektiviseringskrav på drift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233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66</v>
      </c>
      <c r="C8" s="76"/>
      <c r="D8" s="77"/>
      <c r="E8" s="1"/>
      <c r="F8" s="1"/>
    </row>
    <row r="9" spans="1:6" ht="15" customHeight="1" x14ac:dyDescent="0.25">
      <c r="A9" s="1"/>
      <c r="B9" s="46" t="s">
        <v>49</v>
      </c>
      <c r="C9" s="11" t="s">
        <v>67</v>
      </c>
      <c r="D9" s="11"/>
      <c r="E9" s="1"/>
      <c r="F9" s="1"/>
    </row>
    <row r="10" spans="1:6" x14ac:dyDescent="0.25">
      <c r="A10" s="1"/>
      <c r="B10" s="47" t="s">
        <v>267</v>
      </c>
      <c r="C10" s="9">
        <v>58178</v>
      </c>
      <c r="D10" s="14" t="s">
        <v>3</v>
      </c>
      <c r="E10" s="1"/>
      <c r="F10" s="1"/>
    </row>
    <row r="11" spans="1:6" ht="26.25" x14ac:dyDescent="0.25">
      <c r="A11" s="1"/>
      <c r="B11" s="41" t="s">
        <v>268</v>
      </c>
      <c r="C11" s="9">
        <v>26633610.57</v>
      </c>
      <c r="D11" s="14" t="s">
        <v>3</v>
      </c>
      <c r="E11" s="1"/>
      <c r="F11" s="1"/>
    </row>
    <row r="12" spans="1:6" x14ac:dyDescent="0.25">
      <c r="A12" s="1"/>
      <c r="B12" s="41" t="s">
        <v>269</v>
      </c>
      <c r="C12" s="9">
        <v>58273.61</v>
      </c>
      <c r="D12" s="14" t="s">
        <v>3</v>
      </c>
      <c r="E12" s="1"/>
      <c r="F12" s="1"/>
    </row>
    <row r="13" spans="1:6" x14ac:dyDescent="0.25">
      <c r="A13" s="1"/>
      <c r="B13" s="47" t="s">
        <v>270</v>
      </c>
      <c r="C13" s="9">
        <v>955046.63</v>
      </c>
      <c r="D13" s="14" t="s">
        <v>3</v>
      </c>
      <c r="E13" s="1"/>
      <c r="F13" s="1"/>
    </row>
    <row r="14" spans="1:6" x14ac:dyDescent="0.25">
      <c r="A14" s="1"/>
      <c r="B14" s="43" t="s">
        <v>68</v>
      </c>
      <c r="C14" s="12">
        <f>SUM(C10:C13)</f>
        <v>27705108.809999999</v>
      </c>
      <c r="D14" s="13" t="s">
        <v>3</v>
      </c>
      <c r="E14" s="1"/>
      <c r="F14" s="1"/>
    </row>
    <row r="15" spans="1:6" x14ac:dyDescent="0.25">
      <c r="A15" s="1"/>
      <c r="B15" s="43" t="s">
        <v>69</v>
      </c>
      <c r="C15" s="12">
        <f>C14*(1+'Fane 15. Nøgletal'!C12)^2</f>
        <v>28807442.172792073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75" t="s">
        <v>244</v>
      </c>
      <c r="C18" s="76"/>
      <c r="D18" s="77"/>
      <c r="E18" s="1"/>
      <c r="F18" s="1"/>
    </row>
    <row r="19" spans="1:6" x14ac:dyDescent="0.25">
      <c r="A19" s="1"/>
      <c r="B19" s="47" t="s">
        <v>193</v>
      </c>
      <c r="C19" s="9">
        <v>2078642</v>
      </c>
      <c r="D19" s="14" t="s">
        <v>3</v>
      </c>
      <c r="E19" s="1"/>
      <c r="F19" s="1"/>
    </row>
    <row r="20" spans="1:6" x14ac:dyDescent="0.25">
      <c r="A20" s="1"/>
      <c r="B20" s="47" t="s">
        <v>194</v>
      </c>
      <c r="C20" s="9">
        <v>2081585</v>
      </c>
      <c r="D20" s="14" t="s">
        <v>3</v>
      </c>
      <c r="E20" s="1"/>
      <c r="F20" s="1"/>
    </row>
    <row r="21" spans="1:6" x14ac:dyDescent="0.25">
      <c r="A21" s="1"/>
      <c r="B21" s="47" t="s">
        <v>195</v>
      </c>
      <c r="C21" s="9">
        <v>2084584</v>
      </c>
      <c r="D21" s="14" t="s">
        <v>3</v>
      </c>
      <c r="E21" s="1"/>
      <c r="F21" s="1"/>
    </row>
    <row r="22" spans="1:6" x14ac:dyDescent="0.25">
      <c r="A22" s="1"/>
      <c r="B22" s="47" t="s">
        <v>196</v>
      </c>
      <c r="C22" s="9">
        <v>1228253</v>
      </c>
      <c r="D22" s="14" t="s">
        <v>3</v>
      </c>
      <c r="E22" s="1"/>
      <c r="F22" s="1"/>
    </row>
    <row r="23" spans="1:6" x14ac:dyDescent="0.25">
      <c r="A23" s="1"/>
      <c r="B23" s="75"/>
      <c r="C23" s="76"/>
      <c r="D23" s="77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75" t="s">
        <v>192</v>
      </c>
      <c r="C26" s="76"/>
      <c r="D26" s="77"/>
      <c r="E26" s="1"/>
      <c r="F26" s="1"/>
    </row>
    <row r="27" spans="1:6" x14ac:dyDescent="0.25">
      <c r="A27" s="1"/>
      <c r="B27" s="47" t="s">
        <v>193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47" t="s">
        <v>194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47" t="s">
        <v>195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47" t="s">
        <v>196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75"/>
      <c r="C31" s="76"/>
      <c r="D31" s="77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inizhz04klfpEG+8HlYQyES0pZfXfP5mRqp/XP815rZClx0POu4igbO3QHZkPi3FtqMTpBMvSFNzWE3X+otB3g==" saltValue="TTfpSYkthFJULhUFcLuHXg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6" t="s">
        <v>232</v>
      </c>
      <c r="C3" s="96"/>
      <c r="D3" s="96"/>
      <c r="E3" s="96"/>
      <c r="F3" s="96"/>
      <c r="G3" s="1"/>
    </row>
    <row r="4" spans="1:7" ht="15" customHeight="1" x14ac:dyDescent="0.25">
      <c r="A4" s="1"/>
      <c r="B4" s="96"/>
      <c r="C4" s="96"/>
      <c r="D4" s="96"/>
      <c r="E4" s="96"/>
      <c r="F4" s="96"/>
      <c r="G4" s="1"/>
    </row>
    <row r="5" spans="1:7" ht="15" customHeight="1" x14ac:dyDescent="0.25">
      <c r="A5" s="1"/>
      <c r="B5" s="40"/>
      <c r="C5" s="40"/>
      <c r="D5" s="40"/>
      <c r="E5" s="40"/>
      <c r="F5" s="40"/>
      <c r="G5" s="1"/>
    </row>
    <row r="6" spans="1:7" ht="15" customHeight="1" x14ac:dyDescent="0.25">
      <c r="A6" s="1"/>
      <c r="B6" s="40"/>
      <c r="C6" s="40"/>
      <c r="D6" s="40"/>
      <c r="E6" s="40"/>
      <c r="F6" s="4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179</v>
      </c>
      <c r="C8" s="76"/>
      <c r="D8" s="76"/>
      <c r="E8" s="76"/>
      <c r="F8" s="77"/>
      <c r="G8" s="1"/>
    </row>
    <row r="9" spans="1:7" x14ac:dyDescent="0.25">
      <c r="A9" s="1"/>
      <c r="B9" s="102" t="s">
        <v>180</v>
      </c>
      <c r="C9" s="103"/>
      <c r="D9" s="104"/>
      <c r="E9" s="9">
        <v>158246100.13123202</v>
      </c>
      <c r="F9" s="14" t="s">
        <v>3</v>
      </c>
      <c r="G9" s="1"/>
    </row>
    <row r="10" spans="1:7" x14ac:dyDescent="0.25">
      <c r="A10" s="1"/>
      <c r="B10" s="102" t="s">
        <v>181</v>
      </c>
      <c r="C10" s="103"/>
      <c r="D10" s="104"/>
      <c r="E10" s="9">
        <v>119357763</v>
      </c>
      <c r="F10" s="14" t="s">
        <v>3</v>
      </c>
      <c r="G10" s="1"/>
    </row>
    <row r="11" spans="1:7" x14ac:dyDescent="0.25">
      <c r="A11" s="1"/>
      <c r="B11" s="102" t="s">
        <v>50</v>
      </c>
      <c r="C11" s="103"/>
      <c r="D11" s="104"/>
      <c r="E11" s="9">
        <v>0</v>
      </c>
      <c r="F11" s="14" t="s">
        <v>3</v>
      </c>
      <c r="G11" s="1"/>
    </row>
    <row r="12" spans="1:7" x14ac:dyDescent="0.25">
      <c r="A12" s="1"/>
      <c r="B12" s="81" t="s">
        <v>182</v>
      </c>
      <c r="C12" s="82"/>
      <c r="D12" s="83"/>
      <c r="E12" s="10">
        <f>E9-(E10-E11)</f>
        <v>38888337.131232023</v>
      </c>
      <c r="F12" s="17" t="s">
        <v>3</v>
      </c>
      <c r="G12" s="1"/>
    </row>
    <row r="13" spans="1:7" x14ac:dyDescent="0.25">
      <c r="A13" s="1"/>
      <c r="B13" s="43"/>
      <c r="C13" s="44"/>
      <c r="D13" s="44"/>
      <c r="E13" s="44"/>
      <c r="F13" s="22"/>
      <c r="G13" s="1"/>
    </row>
    <row r="14" spans="1:7" ht="27.75" customHeight="1" x14ac:dyDescent="0.25">
      <c r="A14" s="1"/>
      <c r="B14" s="78" t="s">
        <v>209</v>
      </c>
      <c r="C14" s="79"/>
      <c r="D14" s="79"/>
      <c r="E14" s="79"/>
      <c r="F14" s="80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75" t="s">
        <v>74</v>
      </c>
      <c r="C17" s="76"/>
      <c r="D17" s="76"/>
      <c r="E17" s="76"/>
      <c r="F17" s="77"/>
      <c r="G17" s="1"/>
    </row>
    <row r="18" spans="1:7" x14ac:dyDescent="0.25">
      <c r="A18" s="1"/>
      <c r="B18" s="102" t="s">
        <v>75</v>
      </c>
      <c r="C18" s="103"/>
      <c r="D18" s="104"/>
      <c r="E18" s="9">
        <v>165454703.3675454</v>
      </c>
      <c r="F18" s="14" t="s">
        <v>3</v>
      </c>
      <c r="G18" s="1"/>
    </row>
    <row r="19" spans="1:7" x14ac:dyDescent="0.25">
      <c r="A19" s="1"/>
      <c r="B19" s="102" t="s">
        <v>76</v>
      </c>
      <c r="C19" s="103"/>
      <c r="D19" s="104"/>
      <c r="E19" s="9">
        <v>125781532.30000001</v>
      </c>
      <c r="F19" s="14" t="s">
        <v>3</v>
      </c>
      <c r="G19" s="1"/>
    </row>
    <row r="20" spans="1:7" x14ac:dyDescent="0.25">
      <c r="A20" s="1"/>
      <c r="B20" s="102" t="s">
        <v>50</v>
      </c>
      <c r="C20" s="103"/>
      <c r="D20" s="104"/>
      <c r="E20" s="9">
        <v>0</v>
      </c>
      <c r="F20" s="14" t="s">
        <v>3</v>
      </c>
      <c r="G20" s="1"/>
    </row>
    <row r="21" spans="1:7" x14ac:dyDescent="0.25">
      <c r="A21" s="1"/>
      <c r="B21" s="81" t="s">
        <v>77</v>
      </c>
      <c r="C21" s="82"/>
      <c r="D21" s="83"/>
      <c r="E21" s="10">
        <f>E18-(E19-E20)</f>
        <v>39673171.067545384</v>
      </c>
      <c r="F21" s="17" t="s">
        <v>3</v>
      </c>
      <c r="G21" s="1"/>
    </row>
    <row r="22" spans="1:7" x14ac:dyDescent="0.25">
      <c r="A22" s="1"/>
      <c r="B22" s="43"/>
      <c r="C22" s="44"/>
      <c r="D22" s="44"/>
      <c r="E22" s="4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75" t="s">
        <v>201</v>
      </c>
      <c r="C25" s="76"/>
      <c r="D25" s="76"/>
      <c r="E25" s="76"/>
      <c r="F25" s="77"/>
      <c r="G25" s="1"/>
    </row>
    <row r="26" spans="1:7" x14ac:dyDescent="0.25">
      <c r="A26" s="1"/>
      <c r="B26" s="111" t="s">
        <v>171</v>
      </c>
      <c r="C26" s="112"/>
      <c r="D26" s="113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11" t="s">
        <v>200</v>
      </c>
      <c r="C27" s="112"/>
      <c r="D27" s="113"/>
      <c r="E27" s="9">
        <v>4</v>
      </c>
      <c r="F27" s="14" t="s">
        <v>28</v>
      </c>
      <c r="G27" s="1"/>
    </row>
    <row r="28" spans="1:7" x14ac:dyDescent="0.25">
      <c r="A28" s="1"/>
      <c r="B28" s="81" t="s">
        <v>210</v>
      </c>
      <c r="C28" s="82"/>
      <c r="D28" s="83"/>
      <c r="E28" s="10">
        <f>E26/E27</f>
        <v>0</v>
      </c>
      <c r="F28" s="17" t="s">
        <v>3</v>
      </c>
      <c r="G28" s="1"/>
    </row>
    <row r="29" spans="1:7" x14ac:dyDescent="0.25">
      <c r="A29" s="1"/>
      <c r="B29" s="114"/>
      <c r="C29" s="115"/>
      <c r="D29" s="115"/>
      <c r="E29" s="115"/>
      <c r="F29" s="116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xGHDpqzm0KxE8tNEt/bHptIc2rkR1zdwWNpdtLBpdGC3fcMOBXixmaGldkQkfe8jtGNk3Xhagzvh/V2pwGqWmw==" saltValue="WgUtqMww3j/lAkIA4R+PRA==" spinCount="100000" sheet="1" objects="1" scenarios="1"/>
  <mergeCells count="17">
    <mergeCell ref="B25:F25"/>
    <mergeCell ref="B26:D26"/>
    <mergeCell ref="B27:D27"/>
    <mergeCell ref="B28:D28"/>
    <mergeCell ref="B29:F29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6" t="s">
        <v>260</v>
      </c>
      <c r="C3" s="96"/>
      <c r="D3" s="96"/>
      <c r="E3" s="96"/>
      <c r="F3" s="96"/>
      <c r="G3" s="1"/>
    </row>
    <row r="4" spans="1:7" ht="1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75" t="s">
        <v>174</v>
      </c>
      <c r="C9" s="76"/>
      <c r="D9" s="76"/>
      <c r="E9" s="76"/>
      <c r="F9" s="76"/>
      <c r="G9" s="1"/>
    </row>
    <row r="10" spans="1:7" x14ac:dyDescent="0.25">
      <c r="A10" s="1"/>
      <c r="B10" s="78" t="s">
        <v>197</v>
      </c>
      <c r="C10" s="79"/>
      <c r="D10" s="80"/>
      <c r="E10" s="7">
        <v>0</v>
      </c>
      <c r="F10" s="8" t="s">
        <v>3</v>
      </c>
      <c r="G10" s="1"/>
    </row>
    <row r="11" spans="1:7" x14ac:dyDescent="0.25">
      <c r="A11" s="1"/>
      <c r="B11" s="102" t="s">
        <v>198</v>
      </c>
      <c r="C11" s="103"/>
      <c r="D11" s="104"/>
      <c r="E11" s="7">
        <v>0</v>
      </c>
      <c r="F11" s="8" t="s">
        <v>3</v>
      </c>
      <c r="G11" s="1"/>
    </row>
    <row r="12" spans="1:7" x14ac:dyDescent="0.25">
      <c r="A12" s="1"/>
      <c r="B12" s="81" t="s">
        <v>199</v>
      </c>
      <c r="C12" s="82"/>
      <c r="D12" s="83"/>
      <c r="E12" s="10">
        <f>E11-E10</f>
        <v>0</v>
      </c>
      <c r="F12" s="11" t="s">
        <v>3</v>
      </c>
      <c r="G12" s="1"/>
    </row>
    <row r="13" spans="1:7" x14ac:dyDescent="0.25">
      <c r="A13" s="1"/>
      <c r="B13" s="75" t="s">
        <v>175</v>
      </c>
      <c r="C13" s="76"/>
      <c r="D13" s="76"/>
      <c r="E13" s="76"/>
      <c r="F13" s="76"/>
      <c r="G13" s="1"/>
    </row>
    <row r="14" spans="1:7" x14ac:dyDescent="0.25">
      <c r="A14" s="1"/>
      <c r="B14" s="102" t="s">
        <v>218</v>
      </c>
      <c r="C14" s="103"/>
      <c r="D14" s="104"/>
      <c r="E14" s="9">
        <v>100039</v>
      </c>
      <c r="F14" s="8" t="s">
        <v>3</v>
      </c>
      <c r="G14" s="1"/>
    </row>
    <row r="15" spans="1:7" x14ac:dyDescent="0.25">
      <c r="A15" s="1"/>
      <c r="B15" s="78" t="s">
        <v>219</v>
      </c>
      <c r="C15" s="79"/>
      <c r="D15" s="80"/>
      <c r="E15" s="9">
        <v>0</v>
      </c>
      <c r="F15" s="8" t="s">
        <v>3</v>
      </c>
      <c r="G15" s="1"/>
    </row>
    <row r="16" spans="1:7" x14ac:dyDescent="0.25">
      <c r="A16" s="1"/>
      <c r="B16" s="81" t="s">
        <v>199</v>
      </c>
      <c r="C16" s="82"/>
      <c r="D16" s="83"/>
      <c r="E16" s="10">
        <f>E15-E14</f>
        <v>-100039</v>
      </c>
      <c r="F16" s="11" t="s">
        <v>3</v>
      </c>
      <c r="G16" s="1"/>
    </row>
    <row r="17" spans="1:7" ht="15" customHeight="1" x14ac:dyDescent="0.25">
      <c r="A17" s="1"/>
      <c r="B17" s="75" t="s">
        <v>170</v>
      </c>
      <c r="C17" s="76"/>
      <c r="D17" s="76"/>
      <c r="E17" s="76"/>
      <c r="F17" s="76"/>
      <c r="G17" s="1"/>
    </row>
    <row r="18" spans="1:7" ht="28.15" customHeight="1" x14ac:dyDescent="0.25">
      <c r="A18" s="1"/>
      <c r="B18" s="78" t="s">
        <v>266</v>
      </c>
      <c r="C18" s="79"/>
      <c r="D18" s="80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178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59519.152318407316</v>
      </c>
      <c r="F19" s="11" t="s">
        <v>3</v>
      </c>
      <c r="G19" s="1"/>
    </row>
    <row r="20" spans="1:7" x14ac:dyDescent="0.25">
      <c r="A20" s="1"/>
      <c r="B20" s="43" t="s">
        <v>190</v>
      </c>
      <c r="C20" s="44"/>
      <c r="D20" s="44"/>
      <c r="E20" s="12">
        <f>E12+E16+E19</f>
        <v>-40519.847681592684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PuiDMOZSpStNtDuXjz8jiVquq5+/puxbO31PlttaX6hlzFus+28GuElA4aJg4m+uA0QL27tkCXWfGJaPAbTIog==" saltValue="VUptKacdrCQQeKpxd/4KTg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7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261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262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0" t="s">
        <v>272</v>
      </c>
      <c r="C10" s="126">
        <v>75</v>
      </c>
      <c r="D10" s="9">
        <v>299033.46000000002</v>
      </c>
      <c r="E10" s="9">
        <f>IFERROR(D10/C10,0)</f>
        <v>3987.1128000000003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50" t="s">
        <v>273</v>
      </c>
      <c r="C11" s="126">
        <v>75</v>
      </c>
      <c r="D11" s="9">
        <v>383797.19</v>
      </c>
      <c r="E11" s="9">
        <f t="shared" ref="E11:E38" si="0">IFERROR(D11/C11,0)</f>
        <v>5117.2958666666664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50" t="s">
        <v>274</v>
      </c>
      <c r="C12" s="126">
        <v>75</v>
      </c>
      <c r="D12" s="9">
        <v>476768.13</v>
      </c>
      <c r="E12" s="9">
        <f t="shared" si="0"/>
        <v>6356.9084000000003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50" t="s">
        <v>275</v>
      </c>
      <c r="C13" s="126">
        <v>75</v>
      </c>
      <c r="D13" s="9">
        <v>228111.23</v>
      </c>
      <c r="E13" s="9">
        <f t="shared" si="0"/>
        <v>3041.4830666666667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50" t="s">
        <v>272</v>
      </c>
      <c r="C14" s="126">
        <v>75</v>
      </c>
      <c r="D14" s="9">
        <v>34420.720000000001</v>
      </c>
      <c r="E14" s="9">
        <f t="shared" si="0"/>
        <v>458.94293333333337</v>
      </c>
      <c r="F14" s="9">
        <v>0</v>
      </c>
      <c r="G14" s="9">
        <v>0</v>
      </c>
      <c r="H14" s="14" t="s">
        <v>3</v>
      </c>
      <c r="I14" s="1"/>
    </row>
    <row r="15" spans="1:9" x14ac:dyDescent="0.25">
      <c r="A15" s="1"/>
      <c r="B15" s="50" t="s">
        <v>273</v>
      </c>
      <c r="C15" s="126">
        <v>75</v>
      </c>
      <c r="D15" s="9">
        <v>227873.3</v>
      </c>
      <c r="E15" s="9">
        <f t="shared" si="0"/>
        <v>3038.3106666666663</v>
      </c>
      <c r="F15" s="9">
        <v>0</v>
      </c>
      <c r="G15" s="9">
        <v>0</v>
      </c>
      <c r="H15" s="14" t="s">
        <v>3</v>
      </c>
      <c r="I15" s="1"/>
    </row>
    <row r="16" spans="1:9" ht="26.25" x14ac:dyDescent="0.25">
      <c r="A16" s="1"/>
      <c r="B16" s="50" t="s">
        <v>274</v>
      </c>
      <c r="C16" s="126">
        <v>75</v>
      </c>
      <c r="D16" s="9">
        <v>150960.18</v>
      </c>
      <c r="E16" s="9">
        <f t="shared" si="0"/>
        <v>2012.8023999999998</v>
      </c>
      <c r="F16" s="9">
        <v>0</v>
      </c>
      <c r="G16" s="9">
        <v>0</v>
      </c>
      <c r="H16" s="14" t="s">
        <v>3</v>
      </c>
      <c r="I16" s="1"/>
    </row>
    <row r="17" spans="1:9" x14ac:dyDescent="0.25">
      <c r="A17" s="1"/>
      <c r="B17" s="50" t="s">
        <v>272</v>
      </c>
      <c r="C17" s="126">
        <v>75</v>
      </c>
      <c r="D17" s="9">
        <v>257744.76</v>
      </c>
      <c r="E17" s="9">
        <f t="shared" si="0"/>
        <v>3436.5968000000003</v>
      </c>
      <c r="F17" s="9">
        <v>0</v>
      </c>
      <c r="G17" s="9">
        <v>0</v>
      </c>
      <c r="H17" s="14" t="s">
        <v>3</v>
      </c>
      <c r="I17" s="1"/>
    </row>
    <row r="18" spans="1:9" x14ac:dyDescent="0.25">
      <c r="A18" s="1"/>
      <c r="B18" s="50" t="s">
        <v>273</v>
      </c>
      <c r="C18" s="126">
        <v>75</v>
      </c>
      <c r="D18" s="9">
        <v>500062.29</v>
      </c>
      <c r="E18" s="9">
        <f t="shared" si="0"/>
        <v>6667.4971999999998</v>
      </c>
      <c r="F18" s="9">
        <v>0</v>
      </c>
      <c r="G18" s="9">
        <v>0</v>
      </c>
      <c r="H18" s="14" t="s">
        <v>3</v>
      </c>
      <c r="I18" s="1"/>
    </row>
    <row r="19" spans="1:9" ht="26.25" x14ac:dyDescent="0.25">
      <c r="A19" s="1"/>
      <c r="B19" s="50" t="s">
        <v>274</v>
      </c>
      <c r="C19" s="126">
        <v>75</v>
      </c>
      <c r="D19" s="9">
        <v>631214.06000000006</v>
      </c>
      <c r="E19" s="9">
        <f t="shared" si="0"/>
        <v>8416.1874666666681</v>
      </c>
      <c r="F19" s="9">
        <v>0</v>
      </c>
      <c r="G19" s="9">
        <v>0</v>
      </c>
      <c r="H19" s="14" t="s">
        <v>3</v>
      </c>
      <c r="I19" s="1"/>
    </row>
    <row r="20" spans="1:9" x14ac:dyDescent="0.25">
      <c r="A20" s="1"/>
      <c r="B20" s="50" t="s">
        <v>272</v>
      </c>
      <c r="C20" s="126">
        <v>75</v>
      </c>
      <c r="D20" s="9">
        <v>1562997.11</v>
      </c>
      <c r="E20" s="9">
        <f t="shared" si="0"/>
        <v>20839.961466666668</v>
      </c>
      <c r="F20" s="9">
        <v>0</v>
      </c>
      <c r="G20" s="9">
        <v>0</v>
      </c>
      <c r="H20" s="14" t="s">
        <v>3</v>
      </c>
      <c r="I20" s="1"/>
    </row>
    <row r="21" spans="1:9" x14ac:dyDescent="0.25">
      <c r="A21" s="1"/>
      <c r="B21" s="50" t="s">
        <v>273</v>
      </c>
      <c r="C21" s="126">
        <v>75</v>
      </c>
      <c r="D21" s="9">
        <v>3585334.25</v>
      </c>
      <c r="E21" s="9">
        <f t="shared" si="0"/>
        <v>47804.456666666665</v>
      </c>
      <c r="F21" s="9">
        <v>0</v>
      </c>
      <c r="G21" s="9">
        <v>0</v>
      </c>
      <c r="H21" s="14" t="s">
        <v>3</v>
      </c>
      <c r="I21" s="1"/>
    </row>
    <row r="22" spans="1:9" ht="26.25" x14ac:dyDescent="0.25">
      <c r="A22" s="1"/>
      <c r="B22" s="50" t="s">
        <v>274</v>
      </c>
      <c r="C22" s="126">
        <v>75</v>
      </c>
      <c r="D22" s="9">
        <v>1780803.18</v>
      </c>
      <c r="E22" s="9">
        <f t="shared" si="0"/>
        <v>23744.042399999998</v>
      </c>
      <c r="F22" s="9">
        <v>0</v>
      </c>
      <c r="G22" s="9">
        <v>0</v>
      </c>
      <c r="H22" s="14" t="s">
        <v>3</v>
      </c>
      <c r="I22" s="1"/>
    </row>
    <row r="23" spans="1:9" ht="26.25" x14ac:dyDescent="0.25">
      <c r="A23" s="1"/>
      <c r="B23" s="50" t="s">
        <v>276</v>
      </c>
      <c r="C23" s="126">
        <v>75</v>
      </c>
      <c r="D23" s="9">
        <v>1841538.78</v>
      </c>
      <c r="E23" s="9">
        <f t="shared" si="0"/>
        <v>24553.850399999999</v>
      </c>
      <c r="F23" s="9">
        <v>0</v>
      </c>
      <c r="G23" s="9">
        <v>0</v>
      </c>
      <c r="H23" s="14" t="s">
        <v>3</v>
      </c>
      <c r="I23" s="1"/>
    </row>
    <row r="24" spans="1:9" ht="26.25" x14ac:dyDescent="0.25">
      <c r="A24" s="1"/>
      <c r="B24" s="50" t="s">
        <v>275</v>
      </c>
      <c r="C24" s="126">
        <v>75</v>
      </c>
      <c r="D24" s="9">
        <v>2671554.2000000002</v>
      </c>
      <c r="E24" s="9">
        <f t="shared" si="0"/>
        <v>35620.722666666668</v>
      </c>
      <c r="F24" s="9">
        <v>0</v>
      </c>
      <c r="G24" s="9">
        <v>0</v>
      </c>
      <c r="H24" s="14" t="s">
        <v>3</v>
      </c>
      <c r="I24" s="1"/>
    </row>
    <row r="25" spans="1:9" x14ac:dyDescent="0.25">
      <c r="A25" s="1"/>
      <c r="B25" s="50" t="s">
        <v>272</v>
      </c>
      <c r="C25" s="126">
        <v>75</v>
      </c>
      <c r="D25" s="9">
        <v>170213.22</v>
      </c>
      <c r="E25" s="9">
        <f t="shared" si="0"/>
        <v>2269.5095999999999</v>
      </c>
      <c r="F25" s="9">
        <v>0</v>
      </c>
      <c r="G25" s="9">
        <v>0</v>
      </c>
      <c r="H25" s="14" t="s">
        <v>3</v>
      </c>
      <c r="I25" s="1"/>
    </row>
    <row r="26" spans="1:9" x14ac:dyDescent="0.25">
      <c r="A26" s="1"/>
      <c r="B26" s="50" t="s">
        <v>277</v>
      </c>
      <c r="C26" s="126">
        <v>50</v>
      </c>
      <c r="D26" s="9">
        <v>3379469.56</v>
      </c>
      <c r="E26" s="9">
        <f t="shared" si="0"/>
        <v>67589.391199999998</v>
      </c>
      <c r="F26" s="9">
        <v>0</v>
      </c>
      <c r="G26" s="9">
        <v>0</v>
      </c>
      <c r="H26" s="14" t="s">
        <v>3</v>
      </c>
      <c r="I26" s="1"/>
    </row>
    <row r="27" spans="1:9" x14ac:dyDescent="0.25">
      <c r="A27" s="1"/>
      <c r="B27" s="50" t="s">
        <v>273</v>
      </c>
      <c r="C27" s="126">
        <v>75</v>
      </c>
      <c r="D27" s="9">
        <v>3992.65</v>
      </c>
      <c r="E27" s="9">
        <f t="shared" si="0"/>
        <v>53.235333333333337</v>
      </c>
      <c r="F27" s="9">
        <v>0</v>
      </c>
      <c r="G27" s="9">
        <v>0</v>
      </c>
      <c r="H27" s="14" t="s">
        <v>3</v>
      </c>
      <c r="I27" s="1"/>
    </row>
    <row r="28" spans="1:9" ht="26.25" x14ac:dyDescent="0.25">
      <c r="A28" s="1"/>
      <c r="B28" s="50" t="s">
        <v>278</v>
      </c>
      <c r="C28" s="126">
        <v>75</v>
      </c>
      <c r="D28" s="9">
        <v>859858.75</v>
      </c>
      <c r="E28" s="9">
        <f t="shared" si="0"/>
        <v>11464.783333333333</v>
      </c>
      <c r="F28" s="9">
        <v>0</v>
      </c>
      <c r="G28" s="9">
        <v>0</v>
      </c>
      <c r="H28" s="14" t="s">
        <v>3</v>
      </c>
      <c r="I28" s="1"/>
    </row>
    <row r="29" spans="1:9" ht="26.25" x14ac:dyDescent="0.25">
      <c r="A29" s="1"/>
      <c r="B29" s="50" t="s">
        <v>279</v>
      </c>
      <c r="C29" s="126">
        <v>75</v>
      </c>
      <c r="D29" s="9">
        <v>397769.57</v>
      </c>
      <c r="E29" s="9">
        <f t="shared" si="0"/>
        <v>5303.594266666667</v>
      </c>
      <c r="F29" s="9">
        <v>0</v>
      </c>
      <c r="G29" s="9">
        <v>0</v>
      </c>
      <c r="H29" s="14" t="s">
        <v>3</v>
      </c>
      <c r="I29" s="1"/>
    </row>
    <row r="30" spans="1:9" ht="26.25" x14ac:dyDescent="0.25">
      <c r="A30" s="1"/>
      <c r="B30" s="50" t="s">
        <v>274</v>
      </c>
      <c r="C30" s="126">
        <v>75</v>
      </c>
      <c r="D30" s="9">
        <v>163418.64000000001</v>
      </c>
      <c r="E30" s="9">
        <f t="shared" si="0"/>
        <v>2178.9152000000004</v>
      </c>
      <c r="F30" s="9">
        <v>0</v>
      </c>
      <c r="G30" s="9">
        <v>0</v>
      </c>
      <c r="H30" s="14" t="s">
        <v>3</v>
      </c>
      <c r="I30" s="1"/>
    </row>
    <row r="31" spans="1:9" ht="26.25" x14ac:dyDescent="0.25">
      <c r="A31" s="1"/>
      <c r="B31" s="50" t="s">
        <v>276</v>
      </c>
      <c r="C31" s="126">
        <v>75</v>
      </c>
      <c r="D31" s="9">
        <v>468152.98</v>
      </c>
      <c r="E31" s="9">
        <f t="shared" si="0"/>
        <v>6242.0397333333331</v>
      </c>
      <c r="F31" s="9">
        <v>0</v>
      </c>
      <c r="G31" s="9">
        <v>0</v>
      </c>
      <c r="H31" s="14" t="s">
        <v>3</v>
      </c>
      <c r="I31" s="1"/>
    </row>
    <row r="32" spans="1:9" x14ac:dyDescent="0.25">
      <c r="A32" s="1"/>
      <c r="B32" s="50" t="s">
        <v>272</v>
      </c>
      <c r="C32" s="126">
        <v>75</v>
      </c>
      <c r="D32" s="9">
        <v>44165.48</v>
      </c>
      <c r="E32" s="9">
        <f t="shared" si="0"/>
        <v>588.87306666666666</v>
      </c>
      <c r="F32" s="9">
        <v>0</v>
      </c>
      <c r="G32" s="9">
        <v>0</v>
      </c>
      <c r="H32" s="14" t="s">
        <v>3</v>
      </c>
      <c r="I32" s="1"/>
    </row>
    <row r="33" spans="1:9" x14ac:dyDescent="0.25">
      <c r="A33" s="1"/>
      <c r="B33" s="50" t="s">
        <v>273</v>
      </c>
      <c r="C33" s="126">
        <v>75</v>
      </c>
      <c r="D33" s="9">
        <v>136512.76</v>
      </c>
      <c r="E33" s="9">
        <f t="shared" si="0"/>
        <v>1820.1701333333335</v>
      </c>
      <c r="F33" s="9">
        <v>0</v>
      </c>
      <c r="G33" s="9">
        <v>0</v>
      </c>
      <c r="H33" s="14" t="s">
        <v>3</v>
      </c>
      <c r="I33" s="1"/>
    </row>
    <row r="34" spans="1:9" x14ac:dyDescent="0.25">
      <c r="A34" s="1"/>
      <c r="B34" s="50" t="s">
        <v>272</v>
      </c>
      <c r="C34" s="126">
        <v>75</v>
      </c>
      <c r="D34" s="9">
        <v>327471.27</v>
      </c>
      <c r="E34" s="9">
        <f t="shared" si="0"/>
        <v>4366.2836000000007</v>
      </c>
      <c r="F34" s="9">
        <v>0</v>
      </c>
      <c r="G34" s="9">
        <v>0</v>
      </c>
      <c r="H34" s="14" t="s">
        <v>3</v>
      </c>
      <c r="I34" s="1"/>
    </row>
    <row r="35" spans="1:9" x14ac:dyDescent="0.25">
      <c r="A35" s="1"/>
      <c r="B35" s="50" t="s">
        <v>273</v>
      </c>
      <c r="C35" s="126">
        <v>75</v>
      </c>
      <c r="D35" s="9">
        <v>477656.54</v>
      </c>
      <c r="E35" s="9">
        <f t="shared" si="0"/>
        <v>6368.753866666666</v>
      </c>
      <c r="F35" s="9">
        <v>0</v>
      </c>
      <c r="G35" s="9">
        <v>0</v>
      </c>
      <c r="H35" s="14" t="s">
        <v>3</v>
      </c>
      <c r="I35" s="1"/>
    </row>
    <row r="36" spans="1:9" ht="26.25" x14ac:dyDescent="0.25">
      <c r="A36" s="1"/>
      <c r="B36" s="50" t="s">
        <v>278</v>
      </c>
      <c r="C36" s="126">
        <v>75</v>
      </c>
      <c r="D36" s="9">
        <v>593596.28</v>
      </c>
      <c r="E36" s="9">
        <f t="shared" si="0"/>
        <v>7914.6170666666667</v>
      </c>
      <c r="F36" s="9">
        <v>0</v>
      </c>
      <c r="G36" s="9">
        <v>0</v>
      </c>
      <c r="H36" s="14" t="s">
        <v>3</v>
      </c>
      <c r="I36" s="1"/>
    </row>
    <row r="37" spans="1:9" ht="26.25" x14ac:dyDescent="0.25">
      <c r="A37" s="1"/>
      <c r="B37" s="50" t="s">
        <v>274</v>
      </c>
      <c r="C37" s="126">
        <v>75</v>
      </c>
      <c r="D37" s="9">
        <v>253949.18</v>
      </c>
      <c r="E37" s="9">
        <f t="shared" si="0"/>
        <v>3385.9890666666665</v>
      </c>
      <c r="F37" s="9">
        <v>0</v>
      </c>
      <c r="G37" s="9">
        <v>0</v>
      </c>
      <c r="H37" s="14" t="s">
        <v>3</v>
      </c>
      <c r="I37" s="1"/>
    </row>
    <row r="38" spans="1:9" x14ac:dyDescent="0.25">
      <c r="A38" s="1"/>
      <c r="B38" s="50" t="s">
        <v>272</v>
      </c>
      <c r="C38" s="126">
        <v>75</v>
      </c>
      <c r="D38" s="9">
        <v>38928.32</v>
      </c>
      <c r="E38" s="9">
        <f t="shared" si="0"/>
        <v>519.04426666666666</v>
      </c>
      <c r="F38" s="9">
        <v>0</v>
      </c>
      <c r="G38" s="9">
        <v>0</v>
      </c>
      <c r="H38" s="14" t="s">
        <v>3</v>
      </c>
      <c r="I38" s="1"/>
    </row>
    <row r="39" spans="1:9" ht="26.25" x14ac:dyDescent="0.25">
      <c r="A39" s="1"/>
      <c r="B39" s="50" t="s">
        <v>274</v>
      </c>
      <c r="C39" s="126">
        <v>75</v>
      </c>
      <c r="D39" s="9">
        <v>112515.23</v>
      </c>
      <c r="E39" s="9">
        <f t="shared" ref="E39:E40" si="1">IFERROR(D39/C39,0)</f>
        <v>1500.2030666666667</v>
      </c>
      <c r="F39" s="9">
        <v>0</v>
      </c>
      <c r="G39" s="9">
        <v>0</v>
      </c>
      <c r="H39" s="14" t="s">
        <v>3</v>
      </c>
      <c r="I39" s="1"/>
    </row>
    <row r="40" spans="1:9" x14ac:dyDescent="0.25">
      <c r="A40" s="1"/>
      <c r="B40" s="50" t="s">
        <v>273</v>
      </c>
      <c r="C40" s="126">
        <v>75</v>
      </c>
      <c r="D40" s="9">
        <v>190781.34</v>
      </c>
      <c r="E40" s="9">
        <f t="shared" si="1"/>
        <v>2543.7512000000002</v>
      </c>
      <c r="F40" s="9">
        <v>0</v>
      </c>
      <c r="G40" s="9">
        <v>0</v>
      </c>
      <c r="H40" s="14" t="s">
        <v>3</v>
      </c>
      <c r="I40" s="1"/>
    </row>
    <row r="41" spans="1:9" x14ac:dyDescent="0.25">
      <c r="A41" s="1"/>
      <c r="B41" s="75" t="s">
        <v>263</v>
      </c>
      <c r="C41" s="76"/>
      <c r="D41" s="77"/>
      <c r="E41" s="12">
        <f>SUM(E10:E40)</f>
        <v>319205.32520000008</v>
      </c>
      <c r="F41" s="12">
        <f>SUM(F10:F40)</f>
        <v>0</v>
      </c>
      <c r="G41" s="12">
        <f>SUM(G10:G40)</f>
        <v>0</v>
      </c>
      <c r="H41" s="13" t="s">
        <v>3</v>
      </c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</sheetData>
  <sheetProtection algorithmName="SHA-512" hashValue="4elVGQMSTDIJtpdKoptNXQd8A17aBib/Jj+Brw1rDadb2PwLvRy4tdU1j0J1W9fp8e+hiSPLPJmPepbiVowwZQ==" saltValue="JAg7IYMctJEAJZmU8VCemg==" spinCount="100000" sheet="1" objects="1" scenarios="1"/>
  <mergeCells count="3">
    <mergeCell ref="B3:H4"/>
    <mergeCell ref="B41:D4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231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137</v>
      </c>
      <c r="C8" s="44"/>
      <c r="D8" s="44"/>
      <c r="E8" s="44"/>
      <c r="F8" s="22"/>
      <c r="G8" s="1"/>
    </row>
    <row r="9" spans="1:7" ht="17.25" customHeight="1" x14ac:dyDescent="0.25">
      <c r="A9" s="1"/>
      <c r="B9" s="36" t="s">
        <v>25</v>
      </c>
      <c r="C9" s="36" t="s">
        <v>16</v>
      </c>
      <c r="D9" s="37"/>
      <c r="E9" s="36" t="s">
        <v>48</v>
      </c>
      <c r="F9" s="39"/>
      <c r="G9" s="1"/>
    </row>
    <row r="10" spans="1:7" x14ac:dyDescent="0.25">
      <c r="A10" s="1"/>
      <c r="B10" s="27" t="s">
        <v>280</v>
      </c>
      <c r="C10" s="24">
        <f>'Fane 9. Anlægsprojekter'!F41</f>
        <v>0</v>
      </c>
      <c r="D10" s="14" t="s">
        <v>3</v>
      </c>
      <c r="E10" s="9">
        <f>SUM('Fane 9. Anlægsprojekter'!E41,'Fane 9. Anlægsprojekter'!G41)</f>
        <v>319205.32520000008</v>
      </c>
      <c r="F10" s="14" t="s">
        <v>3</v>
      </c>
      <c r="G10" s="1"/>
    </row>
    <row r="11" spans="1:7" x14ac:dyDescent="0.25">
      <c r="A11" s="1"/>
      <c r="B11" s="43" t="s">
        <v>60</v>
      </c>
      <c r="C11" s="12">
        <f>SUM(C10:C10)</f>
        <v>0</v>
      </c>
      <c r="D11" s="13" t="s">
        <v>3</v>
      </c>
      <c r="E11" s="12">
        <f>SUM(E10:E10)</f>
        <v>319205.32520000008</v>
      </c>
      <c r="F11" s="13" t="s">
        <v>3</v>
      </c>
      <c r="G11" s="1"/>
    </row>
    <row r="12" spans="1:7" x14ac:dyDescent="0.25">
      <c r="A12" s="1"/>
      <c r="B12" s="43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325493.67010644008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aA2B0MKjUFSPE2BFX4Op81I8gQ/0+mfeSQDltuMqx5IZvdyXGVHyMIglNuvz9tbni7yFNXbu/oGp8aqnu6WL/g==" saltValue="nNLvz1/lkw81dr9NBjRUc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230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183</v>
      </c>
      <c r="C8" s="76"/>
      <c r="D8" s="76"/>
      <c r="E8" s="76"/>
      <c r="F8" s="77"/>
      <c r="G8" s="1"/>
    </row>
    <row r="9" spans="1:7" x14ac:dyDescent="0.25">
      <c r="A9" s="1"/>
      <c r="B9" s="36" t="s">
        <v>25</v>
      </c>
      <c r="C9" s="36" t="s">
        <v>16</v>
      </c>
      <c r="D9" s="37"/>
      <c r="E9" s="36" t="s">
        <v>48</v>
      </c>
      <c r="F9" s="39"/>
      <c r="G9" s="1"/>
    </row>
    <row r="10" spans="1:7" x14ac:dyDescent="0.25">
      <c r="A10" s="1"/>
      <c r="B10" s="27" t="s">
        <v>271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3" t="s">
        <v>187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191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3" t="s">
        <v>188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75" t="s">
        <v>184</v>
      </c>
      <c r="C16" s="76"/>
      <c r="D16" s="76"/>
      <c r="E16" s="76"/>
      <c r="F16" s="77"/>
      <c r="G16" s="1"/>
    </row>
    <row r="17" spans="1:7" x14ac:dyDescent="0.25">
      <c r="A17" s="1"/>
      <c r="B17" s="36" t="s">
        <v>25</v>
      </c>
      <c r="C17" s="36" t="s">
        <v>16</v>
      </c>
      <c r="D17" s="37"/>
      <c r="E17" s="36" t="s">
        <v>48</v>
      </c>
      <c r="F17" s="39"/>
      <c r="G17" s="1"/>
    </row>
    <row r="18" spans="1:7" x14ac:dyDescent="0.25">
      <c r="A18" s="1"/>
      <c r="B18" s="27" t="s">
        <v>271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3" t="s">
        <v>187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191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3" t="s">
        <v>189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75" t="s">
        <v>185</v>
      </c>
      <c r="C24" s="76"/>
      <c r="D24" s="76"/>
      <c r="E24" s="76"/>
      <c r="F24" s="77"/>
      <c r="G24" s="1"/>
    </row>
    <row r="25" spans="1:7" x14ac:dyDescent="0.25">
      <c r="A25" s="1"/>
      <c r="B25" s="36" t="s">
        <v>25</v>
      </c>
      <c r="C25" s="36" t="s">
        <v>16</v>
      </c>
      <c r="D25" s="37"/>
      <c r="E25" s="36" t="s">
        <v>48</v>
      </c>
      <c r="F25" s="39"/>
      <c r="G25" s="1"/>
    </row>
    <row r="26" spans="1:7" x14ac:dyDescent="0.25">
      <c r="A26" s="1"/>
      <c r="B26" s="27" t="s">
        <v>271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3" t="s">
        <v>187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191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3" t="s">
        <v>189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75" t="s">
        <v>186</v>
      </c>
      <c r="C32" s="76"/>
      <c r="D32" s="76"/>
      <c r="E32" s="76"/>
      <c r="F32" s="77"/>
      <c r="G32" s="1"/>
    </row>
    <row r="33" spans="1:7" x14ac:dyDescent="0.25">
      <c r="A33" s="1"/>
      <c r="B33" s="36" t="s">
        <v>25</v>
      </c>
      <c r="C33" s="36" t="s">
        <v>16</v>
      </c>
      <c r="D33" s="37"/>
      <c r="E33" s="36" t="s">
        <v>48</v>
      </c>
      <c r="F33" s="39"/>
      <c r="G33" s="1"/>
    </row>
    <row r="34" spans="1:7" x14ac:dyDescent="0.25">
      <c r="A34" s="1"/>
      <c r="B34" s="27" t="s">
        <v>271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3" t="s">
        <v>187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191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3" t="s">
        <v>189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1nFcaapxmwU7sLmvE5R8lmjKQcxp1dqgZFcs9Bg2mEkrPyGXQFpWCC1p3fcgr0B9d1n7b6RKruQiDB7eCb/xbw==" saltValue="m4EbCVlvMEt5tBwN6Wbeq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243</v>
      </c>
      <c r="C3" s="96"/>
      <c r="D3" s="96"/>
      <c r="E3" s="96"/>
      <c r="F3" s="96"/>
      <c r="G3" s="1"/>
    </row>
    <row r="4" spans="1:7" ht="1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96"/>
      <c r="C5" s="96"/>
      <c r="D5" s="96"/>
      <c r="E5" s="96"/>
      <c r="F5" s="9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158</v>
      </c>
      <c r="C8" s="76"/>
      <c r="D8" s="76"/>
      <c r="E8" s="76"/>
      <c r="F8" s="77"/>
      <c r="G8" s="1"/>
    </row>
    <row r="9" spans="1:7" x14ac:dyDescent="0.25">
      <c r="A9" s="1"/>
      <c r="B9" s="120" t="s">
        <v>157</v>
      </c>
      <c r="C9" s="121"/>
      <c r="D9" s="122"/>
      <c r="E9" s="9">
        <v>0</v>
      </c>
      <c r="F9" s="14" t="s">
        <v>3</v>
      </c>
      <c r="G9" s="1"/>
    </row>
    <row r="10" spans="1:7" x14ac:dyDescent="0.25">
      <c r="A10" s="1"/>
      <c r="B10" s="117" t="s">
        <v>10</v>
      </c>
      <c r="C10" s="118"/>
      <c r="D10" s="119"/>
      <c r="E10" s="9">
        <f>-E9*'Fane 5. Individuelt eff. krav'!G10</f>
        <v>0</v>
      </c>
      <c r="F10" s="14" t="s">
        <v>3</v>
      </c>
      <c r="G10" s="1"/>
    </row>
    <row r="11" spans="1:7" x14ac:dyDescent="0.25">
      <c r="A11" s="1"/>
      <c r="B11" s="117" t="s">
        <v>39</v>
      </c>
      <c r="C11" s="118"/>
      <c r="D11" s="119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75" t="s">
        <v>162</v>
      </c>
      <c r="C12" s="76"/>
      <c r="D12" s="77"/>
      <c r="E12" s="12">
        <f>SUM(E9:E11)*(1+'Fane 15. Nøgletal'!C10)^2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159</v>
      </c>
      <c r="C14" s="76"/>
      <c r="D14" s="76"/>
      <c r="E14" s="76"/>
      <c r="F14" s="77"/>
      <c r="G14" s="1"/>
    </row>
    <row r="15" spans="1:7" x14ac:dyDescent="0.25">
      <c r="A15" s="1"/>
      <c r="B15" s="120" t="s">
        <v>157</v>
      </c>
      <c r="C15" s="121"/>
      <c r="D15" s="122"/>
      <c r="E15" s="9">
        <v>0</v>
      </c>
      <c r="F15" s="14" t="s">
        <v>3</v>
      </c>
      <c r="G15" s="1"/>
    </row>
    <row r="16" spans="1:7" x14ac:dyDescent="0.25">
      <c r="A16" s="1"/>
      <c r="B16" s="117" t="s">
        <v>10</v>
      </c>
      <c r="C16" s="118"/>
      <c r="D16" s="119"/>
      <c r="E16" s="9">
        <f>-E15*'Fane 5. Individuelt eff. krav'!G10</f>
        <v>0</v>
      </c>
      <c r="F16" s="14" t="s">
        <v>3</v>
      </c>
      <c r="G16" s="1"/>
    </row>
    <row r="17" spans="1:7" x14ac:dyDescent="0.25">
      <c r="A17" s="1"/>
      <c r="B17" s="117" t="s">
        <v>39</v>
      </c>
      <c r="C17" s="118"/>
      <c r="D17" s="119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75" t="s">
        <v>163</v>
      </c>
      <c r="C18" s="76"/>
      <c r="D18" s="77"/>
      <c r="E18" s="12">
        <f>SUM(E15:E17)*(1+'Fane 15. Nøgletal'!C10)^3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160</v>
      </c>
      <c r="C20" s="76"/>
      <c r="D20" s="76"/>
      <c r="E20" s="76"/>
      <c r="F20" s="77"/>
      <c r="G20" s="1"/>
    </row>
    <row r="21" spans="1:7" x14ac:dyDescent="0.25">
      <c r="A21" s="1"/>
      <c r="B21" s="120" t="s">
        <v>157</v>
      </c>
      <c r="C21" s="121"/>
      <c r="D21" s="122"/>
      <c r="E21" s="9">
        <v>0</v>
      </c>
      <c r="F21" s="14" t="s">
        <v>3</v>
      </c>
      <c r="G21" s="1"/>
    </row>
    <row r="22" spans="1:7" x14ac:dyDescent="0.25">
      <c r="A22" s="1"/>
      <c r="B22" s="117" t="s">
        <v>10</v>
      </c>
      <c r="C22" s="118"/>
      <c r="D22" s="119"/>
      <c r="E22" s="9">
        <f>-E21*'Fane 5. Individuelt eff. krav'!G10</f>
        <v>0</v>
      </c>
      <c r="F22" s="14" t="s">
        <v>3</v>
      </c>
      <c r="G22" s="1"/>
    </row>
    <row r="23" spans="1:7" x14ac:dyDescent="0.25">
      <c r="A23" s="1"/>
      <c r="B23" s="117" t="s">
        <v>39</v>
      </c>
      <c r="C23" s="118"/>
      <c r="D23" s="119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75" t="s">
        <v>164</v>
      </c>
      <c r="C24" s="76"/>
      <c r="D24" s="77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161</v>
      </c>
      <c r="C26" s="76"/>
      <c r="D26" s="76"/>
      <c r="E26" s="76"/>
      <c r="F26" s="77"/>
      <c r="G26" s="1"/>
    </row>
    <row r="27" spans="1:7" x14ac:dyDescent="0.25">
      <c r="A27" s="1"/>
      <c r="B27" s="120" t="s">
        <v>157</v>
      </c>
      <c r="C27" s="121"/>
      <c r="D27" s="122"/>
      <c r="E27" s="9">
        <v>0</v>
      </c>
      <c r="F27" s="14" t="s">
        <v>3</v>
      </c>
      <c r="G27" s="1"/>
    </row>
    <row r="28" spans="1:7" x14ac:dyDescent="0.25">
      <c r="A28" s="1"/>
      <c r="B28" s="117" t="s">
        <v>10</v>
      </c>
      <c r="C28" s="118"/>
      <c r="D28" s="119"/>
      <c r="E28" s="9">
        <f>-E27*'Fane 5. Individuelt eff. krav'!G10</f>
        <v>0</v>
      </c>
      <c r="F28" s="14" t="s">
        <v>3</v>
      </c>
      <c r="G28" s="1"/>
    </row>
    <row r="29" spans="1:7" x14ac:dyDescent="0.25">
      <c r="A29" s="1"/>
      <c r="B29" s="117" t="s">
        <v>39</v>
      </c>
      <c r="C29" s="118"/>
      <c r="D29" s="119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75" t="s">
        <v>165</v>
      </c>
      <c r="C30" s="76"/>
      <c r="D30" s="77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mwl8orBVANStMxBicCRNNcHnix9YZ1M7IXpMggxSrtMCd9Daz4ozDByobBVK31JDmOCd+be512X6RWslm0Hj9Q==" saltValue="VdczlRICjcDzewOhn9UFaA==" spinCount="100000" sheet="1" objects="1" scenarios="1"/>
  <mergeCells count="21"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229</v>
      </c>
      <c r="C3" s="96"/>
      <c r="D3" s="96"/>
      <c r="E3" s="96"/>
      <c r="F3" s="96"/>
      <c r="G3" s="1"/>
    </row>
    <row r="4" spans="1:7" ht="25.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38" t="s">
        <v>33</v>
      </c>
      <c r="C9" s="90" t="s">
        <v>16</v>
      </c>
      <c r="D9" s="92"/>
      <c r="E9" s="93" t="s">
        <v>48</v>
      </c>
      <c r="F9" s="95"/>
      <c r="G9" s="1"/>
    </row>
    <row r="10" spans="1:7" x14ac:dyDescent="0.25">
      <c r="A10" s="1"/>
      <c r="B10" s="27" t="s">
        <v>264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73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LZ2m6a0f0SB75vSbpaWECz7muOjnmSfqcJsX9JlYZ4VW/5HV1CtoCJs714ftjLnHkt8QHKr5AB8P5FC+ZY2uWg==" saltValue="mLbWOpzkSNFHQFw42MTcT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227</v>
      </c>
      <c r="C3" s="96"/>
      <c r="D3" s="96"/>
      <c r="E3" s="96"/>
      <c r="F3" s="96"/>
      <c r="G3" s="1"/>
    </row>
    <row r="4" spans="1:7" ht="25.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167</v>
      </c>
      <c r="C8" s="76"/>
      <c r="D8" s="76"/>
      <c r="E8" s="76"/>
      <c r="F8" s="77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3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168</v>
      </c>
      <c r="C14" s="76"/>
      <c r="D14" s="76"/>
      <c r="E14" s="76"/>
      <c r="F14" s="77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265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3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3" t="s">
        <v>150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166</v>
      </c>
      <c r="C20" s="76"/>
      <c r="D20" s="76"/>
      <c r="E20" s="76"/>
      <c r="F20" s="77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265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3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3" t="s">
        <v>151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169</v>
      </c>
      <c r="C26" s="76"/>
      <c r="D26" s="76"/>
      <c r="E26" s="76"/>
      <c r="F26" s="77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265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3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3" t="s">
        <v>152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HdaXmXXJgtW5cVUgchVM9UDYBhLqhCallc6hztD7LxbAM0//d6ZeW8pmf90cUrAd0g3+G38zl9Ko/8sLTHxtzA==" saltValue="TqbUM9calbj0oemAlYPnW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228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18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102" t="s">
        <v>12</v>
      </c>
      <c r="C9" s="103"/>
      <c r="D9" s="103"/>
      <c r="E9" s="103"/>
      <c r="F9" s="104"/>
      <c r="G9" s="9">
        <v>49048753</v>
      </c>
      <c r="H9" s="14" t="s">
        <v>3</v>
      </c>
      <c r="I9" s="1"/>
    </row>
    <row r="10" spans="1:9" x14ac:dyDescent="0.25">
      <c r="A10" s="1"/>
      <c r="B10" s="102" t="s">
        <v>135</v>
      </c>
      <c r="C10" s="103"/>
      <c r="D10" s="103"/>
      <c r="E10" s="103"/>
      <c r="F10" s="104"/>
      <c r="G10" s="9">
        <v>0</v>
      </c>
      <c r="H10" s="14" t="s">
        <v>3</v>
      </c>
      <c r="I10" s="1"/>
    </row>
    <row r="11" spans="1:9" x14ac:dyDescent="0.25">
      <c r="A11" s="1"/>
      <c r="B11" s="102" t="s">
        <v>78</v>
      </c>
      <c r="C11" s="103"/>
      <c r="D11" s="103"/>
      <c r="E11" s="103"/>
      <c r="F11" s="104"/>
      <c r="G11" s="9">
        <v>-44172247.756613761</v>
      </c>
      <c r="H11" s="14" t="s">
        <v>3</v>
      </c>
      <c r="I11" s="1"/>
    </row>
    <row r="12" spans="1:9" x14ac:dyDescent="0.25">
      <c r="A12" s="1"/>
      <c r="B12" s="123" t="s">
        <v>15</v>
      </c>
      <c r="C12" s="124"/>
      <c r="D12" s="124"/>
      <c r="E12" s="124"/>
      <c r="F12" s="125"/>
      <c r="G12" s="19">
        <f>(G9+G10)+G11</f>
        <v>4876505.2433862388</v>
      </c>
      <c r="H12" s="18" t="s">
        <v>3</v>
      </c>
      <c r="I12" s="1"/>
    </row>
    <row r="13" spans="1:9" x14ac:dyDescent="0.25">
      <c r="A13" s="1"/>
      <c r="B13" s="102" t="s">
        <v>13</v>
      </c>
      <c r="C13" s="103"/>
      <c r="D13" s="103"/>
      <c r="E13" s="103"/>
      <c r="F13" s="104"/>
      <c r="G13" s="9">
        <v>1</v>
      </c>
      <c r="H13" s="14" t="s">
        <v>28</v>
      </c>
      <c r="I13" s="1"/>
    </row>
    <row r="14" spans="1:9" x14ac:dyDescent="0.25">
      <c r="A14" s="1"/>
      <c r="B14" s="75" t="s">
        <v>136</v>
      </c>
      <c r="C14" s="76"/>
      <c r="D14" s="76"/>
      <c r="E14" s="76"/>
      <c r="F14" s="77"/>
      <c r="G14" s="12">
        <f>IF(G13 = 0,0,-G12/G13)</f>
        <v>-4876505.2433862388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Wsto5i7gaRG/fS+pFd1KpYvIbtBtSJHCjlRSEpO5+rq5SISsU/37aKQyIZQtZzVXrAsFvfvAhQV0CfvBMI/qg==" saltValue="EG7Eq4557w+vFcUYHrVag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62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3" t="s">
        <v>20</v>
      </c>
      <c r="C8" s="44"/>
      <c r="D8" s="22"/>
      <c r="E8" s="1"/>
    </row>
    <row r="9" spans="1:5" x14ac:dyDescent="0.25">
      <c r="A9" s="1"/>
      <c r="B9" s="41" t="s">
        <v>35</v>
      </c>
      <c r="C9" s="7">
        <f>'Fane 3. Omkostninger i ØR2019'!E20</f>
        <v>108079618.32590675</v>
      </c>
      <c r="D9" s="8" t="s">
        <v>3</v>
      </c>
      <c r="E9" s="1"/>
    </row>
    <row r="10" spans="1:5" x14ac:dyDescent="0.25">
      <c r="A10" s="1"/>
      <c r="B10" s="49" t="s">
        <v>205</v>
      </c>
      <c r="C10" s="7">
        <f>SUM('Fane 3. Omkostninger i ØR2019'!E10,'Fane 3. Omkostninger i ØR2019'!E12,'Fane 3. Omkostninger i ØR2019'!E14)*(1-'Fane 15. Nøgletal'!C25-'Fane 5. Individuelt eff. krav'!G10)*(1+'Fane 15. Nøgletal'!C11)</f>
        <v>0</v>
      </c>
      <c r="D10" s="8" t="s">
        <v>3</v>
      </c>
      <c r="E10" s="1"/>
    </row>
    <row r="11" spans="1:5" x14ac:dyDescent="0.25">
      <c r="A11" s="1"/>
      <c r="B11" s="49" t="s">
        <v>206</v>
      </c>
      <c r="C11" s="7">
        <f>SUM('Fane 3. Omkostninger i ØR2019'!E11,'Fane 3. Omkostninger i ØR2019'!E13,'Fane 3. Omkostninger i ØR2019'!E15)*(1-'Fane 15. Nøgletal'!C19-'Fane 5. Individuelt eff. krav'!G10)*(1+'Fane 15. Nøgletal'!C11)</f>
        <v>1186845.0444132595</v>
      </c>
      <c r="D11" s="8" t="s">
        <v>3</v>
      </c>
      <c r="E11" s="1"/>
    </row>
    <row r="12" spans="1:5" ht="17.100000000000001" customHeight="1" x14ac:dyDescent="0.25">
      <c r="A12" s="1"/>
      <c r="B12" s="51" t="s">
        <v>64</v>
      </c>
      <c r="C12" s="7">
        <f>'Fane 10.1. Varige tillæg'!C12</f>
        <v>0</v>
      </c>
      <c r="D12" s="8" t="s">
        <v>3</v>
      </c>
      <c r="E12" s="1"/>
    </row>
    <row r="13" spans="1:5" ht="17.100000000000001" customHeight="1" x14ac:dyDescent="0.25">
      <c r="A13" s="1"/>
      <c r="B13" s="51" t="s">
        <v>65</v>
      </c>
      <c r="C13" s="9">
        <f>'Fane 10.1. Varige tillæg'!E12</f>
        <v>325493.67010644008</v>
      </c>
      <c r="D13" s="8" t="s">
        <v>3</v>
      </c>
      <c r="E13" s="1"/>
    </row>
    <row r="14" spans="1:5" ht="17.100000000000001" customHeight="1" x14ac:dyDescent="0.25">
      <c r="A14" s="1"/>
      <c r="B14" s="51" t="s">
        <v>42</v>
      </c>
      <c r="C14" s="9">
        <f>-'Fane 13.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51" t="s">
        <v>41</v>
      </c>
      <c r="C15" s="9">
        <f>-'Fane 13.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51" t="s">
        <v>44</v>
      </c>
      <c r="C16" s="9">
        <f>'Fane 12. Tilknyttet aktivitet'!C12</f>
        <v>0</v>
      </c>
      <c r="D16" s="8" t="s">
        <v>3</v>
      </c>
      <c r="E16" s="1"/>
    </row>
    <row r="17" spans="1:5" ht="17.100000000000001" customHeight="1" x14ac:dyDescent="0.25">
      <c r="A17" s="1"/>
      <c r="B17" s="51" t="s">
        <v>43</v>
      </c>
      <c r="C17" s="9">
        <f>'Fane 12. Tilknyttet aktivitet'!E12</f>
        <v>0</v>
      </c>
      <c r="D17" s="8" t="s">
        <v>3</v>
      </c>
      <c r="E17" s="1"/>
    </row>
    <row r="18" spans="1:5" ht="17.100000000000001" customHeight="1" x14ac:dyDescent="0.25">
      <c r="A18" s="1"/>
      <c r="B18" s="51" t="s">
        <v>27</v>
      </c>
      <c r="C18" s="9">
        <f>(C9-SUM(C10:C11))*'Fane 15. Nøgletal'!C10+SUM(C10:C11)*'Fane 15. Nøgletal'!C11+SUM('Fane 2.1. Økonomisk ramme 2020'!C12:C17)*'Fane 15. Nøgletal'!C12</f>
        <v>1897093.4389778173</v>
      </c>
      <c r="D18" s="8" t="s">
        <v>3</v>
      </c>
      <c r="E18" s="1"/>
    </row>
    <row r="19" spans="1:5" ht="17.100000000000001" customHeight="1" x14ac:dyDescent="0.25">
      <c r="A19" s="1"/>
      <c r="B19" s="51" t="s">
        <v>10</v>
      </c>
      <c r="C19" s="9">
        <f>-SUM(C9,C12:C18)*'Fane 5. Individuelt eff. krav'!G10</f>
        <v>0</v>
      </c>
      <c r="D19" s="8" t="s">
        <v>3</v>
      </c>
      <c r="E19" s="1"/>
    </row>
    <row r="20" spans="1:5" ht="17.100000000000001" customHeight="1" x14ac:dyDescent="0.25">
      <c r="A20" s="1"/>
      <c r="B20" s="51" t="s">
        <v>39</v>
      </c>
      <c r="C20" s="9">
        <f>-'Fane 4.1. Gen. krav - drift'!G28</f>
        <v>-382067.42555604759</v>
      </c>
      <c r="D20" s="8" t="s">
        <v>3</v>
      </c>
      <c r="E20" s="1"/>
    </row>
    <row r="21" spans="1:5" ht="17.100000000000001" customHeight="1" x14ac:dyDescent="0.25">
      <c r="A21" s="1"/>
      <c r="B21" s="51" t="s">
        <v>40</v>
      </c>
      <c r="C21" s="9">
        <f>-'Fane 4.2. Gen. krav - anlæg'!G26</f>
        <v>-1615375.6081809029</v>
      </c>
      <c r="D21" s="8" t="s">
        <v>3</v>
      </c>
      <c r="E21" s="1"/>
    </row>
    <row r="22" spans="1:5" ht="17.100000000000001" customHeight="1" x14ac:dyDescent="0.25">
      <c r="A22" s="1"/>
      <c r="B22" s="45" t="s">
        <v>29</v>
      </c>
      <c r="C22" s="10">
        <f>SUM(C9,C12:C21)</f>
        <v>108304762.40125406</v>
      </c>
      <c r="D22" s="11" t="s">
        <v>3</v>
      </c>
      <c r="E22" s="1"/>
    </row>
    <row r="23" spans="1:5" ht="15" customHeight="1" x14ac:dyDescent="0.25">
      <c r="A23" s="1"/>
      <c r="B23" s="43" t="s">
        <v>17</v>
      </c>
      <c r="C23" s="44"/>
      <c r="D23" s="22"/>
      <c r="E23" s="1"/>
    </row>
    <row r="24" spans="1:5" ht="15" customHeight="1" x14ac:dyDescent="0.25">
      <c r="A24" s="1"/>
      <c r="B24" s="38" t="s">
        <v>17</v>
      </c>
      <c r="C24" s="10">
        <f>'Fane 6. Ikke-påvirkelige omk.'!C15+'Fane 6. Ikke-påvirkelige omk.'!C19+'Fane 6. Ikke-påvirkelige omk.'!C27</f>
        <v>30886084.172792073</v>
      </c>
      <c r="D24" s="11" t="s">
        <v>3</v>
      </c>
      <c r="E24" s="1"/>
    </row>
    <row r="25" spans="1:5" ht="15" customHeight="1" x14ac:dyDescent="0.25">
      <c r="A25" s="1"/>
      <c r="B25" s="43" t="s">
        <v>143</v>
      </c>
      <c r="C25" s="44"/>
      <c r="D25" s="22"/>
      <c r="E25" s="1"/>
    </row>
    <row r="26" spans="1:5" ht="15" customHeight="1" x14ac:dyDescent="0.25">
      <c r="A26" s="1"/>
      <c r="B26" s="45" t="s">
        <v>143</v>
      </c>
      <c r="C26" s="10">
        <f>'Fane 11. Periodevise driftsomk.'!E12</f>
        <v>0</v>
      </c>
      <c r="D26" s="11" t="s">
        <v>3</v>
      </c>
      <c r="E26" s="1"/>
    </row>
    <row r="27" spans="1:5" ht="15" customHeight="1" x14ac:dyDescent="0.25">
      <c r="A27" s="1"/>
      <c r="B27" s="43" t="s">
        <v>142</v>
      </c>
      <c r="C27" s="44"/>
      <c r="D27" s="22"/>
      <c r="E27" s="1"/>
    </row>
    <row r="28" spans="1:5" ht="15" customHeight="1" x14ac:dyDescent="0.25">
      <c r="A28" s="1"/>
      <c r="B28" s="51" t="s">
        <v>138</v>
      </c>
      <c r="C28" s="9">
        <f>'Fane 10.2. Engangstillæg'!C14</f>
        <v>0</v>
      </c>
      <c r="D28" s="8" t="s">
        <v>3</v>
      </c>
      <c r="E28" s="1"/>
    </row>
    <row r="29" spans="1:5" ht="15" customHeight="1" x14ac:dyDescent="0.25">
      <c r="A29" s="1"/>
      <c r="B29" s="51" t="s">
        <v>139</v>
      </c>
      <c r="C29" s="9">
        <f>'Fane 10.2. Engangstillæg'!E14</f>
        <v>0</v>
      </c>
      <c r="D29" s="8" t="s">
        <v>3</v>
      </c>
      <c r="E29" s="1"/>
    </row>
    <row r="30" spans="1:5" x14ac:dyDescent="0.25">
      <c r="A30" s="1"/>
      <c r="B30" s="45" t="s">
        <v>145</v>
      </c>
      <c r="C30" s="10">
        <f>SUM(C28:C29)</f>
        <v>0</v>
      </c>
      <c r="D30" s="11" t="s">
        <v>3</v>
      </c>
      <c r="E30" s="1"/>
    </row>
    <row r="31" spans="1:5" x14ac:dyDescent="0.25">
      <c r="A31" s="1"/>
      <c r="B31" s="43" t="s">
        <v>11</v>
      </c>
      <c r="C31" s="44"/>
      <c r="D31" s="22"/>
      <c r="E31" s="1"/>
    </row>
    <row r="32" spans="1:5" ht="15" customHeight="1" x14ac:dyDescent="0.25">
      <c r="A32" s="1"/>
      <c r="B32" s="38" t="s">
        <v>19</v>
      </c>
      <c r="C32" s="10">
        <f>'Fane 14. Hist. over-underdæk.'!G14</f>
        <v>-4876505.2433862388</v>
      </c>
      <c r="D32" s="11" t="s">
        <v>3</v>
      </c>
      <c r="E32" s="1"/>
    </row>
    <row r="33" spans="1:5" ht="15" customHeight="1" x14ac:dyDescent="0.25">
      <c r="A33" s="1"/>
      <c r="B33" s="43" t="s">
        <v>258</v>
      </c>
      <c r="C33" s="44"/>
      <c r="D33" s="22"/>
      <c r="E33" s="1"/>
    </row>
    <row r="34" spans="1:5" x14ac:dyDescent="0.25">
      <c r="A34" s="1"/>
      <c r="B34" s="38" t="s">
        <v>259</v>
      </c>
      <c r="C34" s="10">
        <f>'Fane 8. Korrektioner'!E20</f>
        <v>-40519.847681592684</v>
      </c>
      <c r="D34" s="11" t="s">
        <v>3</v>
      </c>
      <c r="E34" s="1"/>
    </row>
    <row r="35" spans="1:5" x14ac:dyDescent="0.25">
      <c r="A35" s="1"/>
      <c r="B35" s="43" t="s">
        <v>36</v>
      </c>
      <c r="C35" s="12">
        <f>SUM(C22,C24,C26,C30,C32,C34)</f>
        <v>134273821.48297831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LQ6TSXFPnaMD21ufBMKLQk1HVlM81MVeFZIkoK4TBgGkdfVrOZxK2SAD/KtD1Xwa5ZNnTNYba5lrbCWvlAtqMg==" saltValue="nyEKzxfwSukQVc95iQ7oo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6" t="s">
        <v>208</v>
      </c>
      <c r="C3" s="96"/>
      <c r="D3" s="1"/>
    </row>
    <row r="4" spans="1:4" ht="25.5" customHeight="1" x14ac:dyDescent="0.25">
      <c r="A4" s="1"/>
      <c r="B4" s="96"/>
      <c r="C4" s="9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21</v>
      </c>
      <c r="C8" s="22"/>
      <c r="D8" s="1"/>
    </row>
    <row r="9" spans="1:4" x14ac:dyDescent="0.25">
      <c r="A9" s="1"/>
      <c r="B9" s="47" t="s">
        <v>236</v>
      </c>
      <c r="C9" s="28">
        <v>1.2699999999999999E-2</v>
      </c>
      <c r="D9" s="1"/>
    </row>
    <row r="10" spans="1:4" x14ac:dyDescent="0.25">
      <c r="A10" s="1"/>
      <c r="B10" s="47" t="s">
        <v>237</v>
      </c>
      <c r="C10" s="28">
        <v>1.7500000000000002E-2</v>
      </c>
      <c r="D10" s="1"/>
    </row>
    <row r="11" spans="1:4" x14ac:dyDescent="0.25">
      <c r="A11" s="1"/>
      <c r="B11" s="47" t="s">
        <v>31</v>
      </c>
      <c r="C11" s="28">
        <v>1.6899999999999998E-2</v>
      </c>
      <c r="D11" s="1"/>
    </row>
    <row r="12" spans="1:4" x14ac:dyDescent="0.25">
      <c r="A12" s="1"/>
      <c r="B12" s="32" t="s">
        <v>70</v>
      </c>
      <c r="C12" s="33">
        <v>1.9699999999999999E-2</v>
      </c>
      <c r="D12" s="1"/>
    </row>
    <row r="13" spans="1:4" x14ac:dyDescent="0.25">
      <c r="A13" s="1"/>
      <c r="B13" s="43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3" t="s">
        <v>204</v>
      </c>
      <c r="C16" s="22"/>
      <c r="D16" s="1"/>
    </row>
    <row r="17" spans="1:4" x14ac:dyDescent="0.25">
      <c r="A17" s="1"/>
      <c r="B17" s="47" t="s">
        <v>238</v>
      </c>
      <c r="C17" s="25">
        <v>9.1000000000000004E-3</v>
      </c>
      <c r="D17" s="1"/>
    </row>
    <row r="18" spans="1:4" x14ac:dyDescent="0.25">
      <c r="A18" s="1"/>
      <c r="B18" s="47" t="s">
        <v>240</v>
      </c>
      <c r="C18" s="25">
        <v>1.77E-2</v>
      </c>
      <c r="D18" s="1"/>
    </row>
    <row r="19" spans="1:4" x14ac:dyDescent="0.25">
      <c r="A19" s="1"/>
      <c r="B19" s="47" t="s">
        <v>239</v>
      </c>
      <c r="C19" s="25">
        <v>8.6999999999999994E-3</v>
      </c>
      <c r="D19" s="1"/>
    </row>
    <row r="20" spans="1:4" x14ac:dyDescent="0.25">
      <c r="A20" s="1"/>
      <c r="B20" s="47" t="s">
        <v>241</v>
      </c>
      <c r="C20" s="34">
        <v>2.8400000000000002E-2</v>
      </c>
      <c r="D20" s="1"/>
    </row>
    <row r="21" spans="1:4" x14ac:dyDescent="0.25">
      <c r="A21" s="1"/>
      <c r="B21" s="43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3" t="s">
        <v>203</v>
      </c>
      <c r="C24" s="22"/>
      <c r="D24" s="1"/>
    </row>
    <row r="25" spans="1:4" x14ac:dyDescent="0.25">
      <c r="A25" s="1"/>
      <c r="B25" s="47" t="s">
        <v>242</v>
      </c>
      <c r="C25" s="28">
        <v>0.02</v>
      </c>
      <c r="D25" s="1"/>
    </row>
    <row r="26" spans="1:4" x14ac:dyDescent="0.25">
      <c r="A26" s="1"/>
      <c r="B26" s="43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Pm41B/8ELk+nW1FHaNc1xsBY6vEpO8o6V2VZORMbxEW/YGdWVGp/p1acoozfE+uvJzmnBLutkkuQ0Xed8ZuWKA==" saltValue="47qA2bVETxVo6zowrw9PI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82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3" t="s">
        <v>20</v>
      </c>
      <c r="C8" s="44"/>
      <c r="D8" s="22"/>
      <c r="E8" s="1"/>
    </row>
    <row r="9" spans="1:5" ht="15" customHeight="1" x14ac:dyDescent="0.25">
      <c r="A9" s="1"/>
      <c r="B9" s="41" t="s">
        <v>37</v>
      </c>
      <c r="C9" s="7">
        <f>'Fane 2.1. Økonomisk ramme 2020'!C22</f>
        <v>108304762.40125406</v>
      </c>
      <c r="D9" s="8" t="s">
        <v>3</v>
      </c>
      <c r="E9" s="1"/>
    </row>
    <row r="10" spans="1:5" ht="15" customHeight="1" x14ac:dyDescent="0.25">
      <c r="A10" s="1"/>
      <c r="B10" s="49" t="s">
        <v>205</v>
      </c>
      <c r="C10" s="7">
        <f>'Fane 2.1. Økonomisk ramme 2020'!C10*(1-'Fane 15. Nøgletal'!C25-'Fane 5. Individuelt eff. krav'!G10)*(1+'Fane 15. Nøgletal'!C11)</f>
        <v>0</v>
      </c>
      <c r="D10" s="8" t="s">
        <v>3</v>
      </c>
      <c r="E10" s="1"/>
    </row>
    <row r="11" spans="1:5" ht="15" customHeight="1" x14ac:dyDescent="0.25">
      <c r="A11" s="1"/>
      <c r="B11" s="49" t="s">
        <v>206</v>
      </c>
      <c r="C11" s="7">
        <f>'Fane 2.1. Økonomisk ramme 2020'!C11*(1-'Fane 15. Nøgletal'!C19-'Fane 5. Individuelt eff. krav'!G10)*(1+'Fane 15. Nøgletal'!C11)</f>
        <v>1196402.671950568</v>
      </c>
      <c r="D11" s="8" t="s">
        <v>3</v>
      </c>
      <c r="E11" s="1"/>
    </row>
    <row r="12" spans="1:5" ht="15" customHeight="1" x14ac:dyDescent="0.25">
      <c r="A12" s="1"/>
      <c r="B12" s="49" t="s">
        <v>213</v>
      </c>
      <c r="C12" s="7">
        <f>('Fane 2.1. Økonomisk ramme 2020'!C12+'Fane 2.1. Økonomisk ramme 2020'!C14+'Fane 2.1. Økonomisk ramme 2020'!C16)*(1-'Fane 15. Nøgletal'!C25-'Fane 5. Individuelt eff. krav'!G10)*(1+'Fane 15. Nøgletal'!C12)</f>
        <v>0</v>
      </c>
      <c r="D12" s="8" t="s">
        <v>3</v>
      </c>
      <c r="E12" s="1"/>
    </row>
    <row r="13" spans="1:5" ht="15" customHeight="1" x14ac:dyDescent="0.25">
      <c r="A13" s="1"/>
      <c r="B13" s="49" t="s">
        <v>217</v>
      </c>
      <c r="C13" s="7">
        <f>('Fane 2.1. Økonomisk ramme 2020'!C13+'Fane 2.1. Økonomisk ramme 2020'!C15+'Fane 2.1. Økonomisk ramme 2020'!C17)*(1-'Fane 15. Nøgletal'!C20-'Fane 5. Individuelt eff. krav'!G10)*(1+'Fane 15. Nøgletal'!C12)</f>
        <v>322479.76797796291</v>
      </c>
      <c r="D13" s="8" t="s">
        <v>3</v>
      </c>
      <c r="E13" s="1"/>
    </row>
    <row r="14" spans="1:5" ht="15" customHeight="1" x14ac:dyDescent="0.25">
      <c r="A14" s="1"/>
      <c r="B14" s="51" t="s">
        <v>42</v>
      </c>
      <c r="C14" s="7">
        <f>-'Fane 13. Bortfald'!C18</f>
        <v>0</v>
      </c>
      <c r="D14" s="8" t="s">
        <v>3</v>
      </c>
      <c r="E14" s="1"/>
    </row>
    <row r="15" spans="1:5" ht="15" customHeight="1" x14ac:dyDescent="0.25">
      <c r="A15" s="1"/>
      <c r="B15" s="51" t="s">
        <v>41</v>
      </c>
      <c r="C15" s="7">
        <f>-'Fane 13. Bortfald'!E18</f>
        <v>0</v>
      </c>
      <c r="D15" s="8" t="s">
        <v>3</v>
      </c>
      <c r="E15" s="1"/>
    </row>
    <row r="16" spans="1:5" ht="15" customHeight="1" x14ac:dyDescent="0.25">
      <c r="A16" s="1"/>
      <c r="B16" s="42" t="s">
        <v>27</v>
      </c>
      <c r="C16" s="9">
        <f>(C9-SUM(C10:C13))*'Fane 15. Nøgletal'!C10+SUM(C10:C11)*'Fane 15. Nøgletal'!C11+SUM(C12:C15)*'Fane 15. Nøgletal'!C12</f>
        <v>1895324.9559083274</v>
      </c>
      <c r="D16" s="8" t="s">
        <v>3</v>
      </c>
      <c r="E16" s="1"/>
    </row>
    <row r="17" spans="1:5" ht="15" customHeight="1" x14ac:dyDescent="0.25">
      <c r="A17" s="1"/>
      <c r="B17" s="42" t="s">
        <v>10</v>
      </c>
      <c r="C17" s="9">
        <f>-SUM(C9,C14:C16)*'Fane 5. Individuelt eff. krav'!G10</f>
        <v>0</v>
      </c>
      <c r="D17" s="8" t="s">
        <v>3</v>
      </c>
      <c r="E17" s="1"/>
    </row>
    <row r="18" spans="1:5" ht="15" customHeight="1" x14ac:dyDescent="0.25">
      <c r="A18" s="1"/>
      <c r="B18" s="42" t="s">
        <v>39</v>
      </c>
      <c r="C18" s="9">
        <f>-'Fane 4.1. Gen. krav - drift'!G36</f>
        <v>-380978.53339321289</v>
      </c>
      <c r="D18" s="8" t="s">
        <v>3</v>
      </c>
      <c r="E18" s="1"/>
    </row>
    <row r="19" spans="1:5" ht="15" customHeight="1" x14ac:dyDescent="0.25">
      <c r="A19" s="1"/>
      <c r="B19" s="42" t="s">
        <v>40</v>
      </c>
      <c r="C19" s="9">
        <f>-'Fane 4.2. Gen. krav - anlæg'!G34</f>
        <v>-1614559.60341461</v>
      </c>
      <c r="D19" s="8" t="s">
        <v>3</v>
      </c>
      <c r="E19" s="1"/>
    </row>
    <row r="20" spans="1:5" ht="15" customHeight="1" x14ac:dyDescent="0.25">
      <c r="A20" s="1"/>
      <c r="B20" s="46" t="s">
        <v>29</v>
      </c>
      <c r="C20" s="10">
        <f>SUM(C9,C14:C19)</f>
        <v>108204549.22035456</v>
      </c>
      <c r="D20" s="11" t="s">
        <v>3</v>
      </c>
      <c r="E20" s="1"/>
    </row>
    <row r="21" spans="1:5" x14ac:dyDescent="0.25">
      <c r="A21" s="1"/>
      <c r="B21" s="43" t="s">
        <v>17</v>
      </c>
      <c r="C21" s="4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omk.'!C15*(1+'Fane 15. Nøgletal'!C12)+'Fane 6. Ikke-påvirkelige omk.'!C20+'Fane 6. Ikke-påvirkelige omk.'!C28</f>
        <v>31456533.78359608</v>
      </c>
      <c r="D22" s="11" t="s">
        <v>3</v>
      </c>
      <c r="E22" s="1"/>
    </row>
    <row r="23" spans="1:5" ht="15" customHeight="1" x14ac:dyDescent="0.25">
      <c r="A23" s="1"/>
      <c r="B23" s="43" t="s">
        <v>143</v>
      </c>
      <c r="C23" s="44"/>
      <c r="D23" s="22"/>
      <c r="E23" s="1"/>
    </row>
    <row r="24" spans="1:5" ht="15" customHeight="1" x14ac:dyDescent="0.25">
      <c r="A24" s="1"/>
      <c r="B24" s="45" t="s">
        <v>144</v>
      </c>
      <c r="C24" s="10">
        <f>'Fane 11. Periodevise driftsomk.'!E18</f>
        <v>0</v>
      </c>
      <c r="D24" s="11" t="s">
        <v>3</v>
      </c>
      <c r="E24" s="1"/>
    </row>
    <row r="25" spans="1:5" ht="15" customHeight="1" x14ac:dyDescent="0.25">
      <c r="A25" s="1"/>
      <c r="B25" s="43" t="s">
        <v>142</v>
      </c>
      <c r="C25" s="44"/>
      <c r="D25" s="22"/>
      <c r="E25" s="1"/>
    </row>
    <row r="26" spans="1:5" ht="15" customHeight="1" x14ac:dyDescent="0.25">
      <c r="A26" s="1"/>
      <c r="B26" s="51" t="s">
        <v>138</v>
      </c>
      <c r="C26" s="9">
        <f>'Fane 10.2. Engangstillæg'!C22</f>
        <v>0</v>
      </c>
      <c r="D26" s="8" t="s">
        <v>3</v>
      </c>
      <c r="E26" s="1"/>
    </row>
    <row r="27" spans="1:5" ht="15" customHeight="1" x14ac:dyDescent="0.25">
      <c r="A27" s="1"/>
      <c r="B27" s="51" t="s">
        <v>139</v>
      </c>
      <c r="C27" s="9">
        <f>'Fane 10.2. Engangstillæg'!E22</f>
        <v>0</v>
      </c>
      <c r="D27" s="8" t="s">
        <v>3</v>
      </c>
      <c r="E27" s="1"/>
    </row>
    <row r="28" spans="1:5" ht="15" customHeight="1" x14ac:dyDescent="0.25">
      <c r="A28" s="1"/>
      <c r="B28" s="45" t="s">
        <v>145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3" t="s">
        <v>45</v>
      </c>
      <c r="C29" s="12">
        <f>SUM(C20,C22,C24,C28,)</f>
        <v>139661083.00395063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vuZk+uoV6ny5DhTSGIx9dq+sBUXWDx9sdHnJyMyDt/afPyOgEjRJBxUU1SjSLOpNzGNt66dXos7BFHzT0+1EOQ==" saltValue="UaarwGKLs3VkSbfn/3u4x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215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30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3" t="s">
        <v>20</v>
      </c>
      <c r="C7" s="44"/>
      <c r="D7" s="22"/>
      <c r="E7" s="1"/>
    </row>
    <row r="8" spans="1:5" ht="15" customHeight="1" x14ac:dyDescent="0.25">
      <c r="A8" s="1"/>
      <c r="B8" s="41" t="s">
        <v>38</v>
      </c>
      <c r="C8" s="7">
        <f>'Fane 2.2. Økonomisk ramme 2021'!C20</f>
        <v>108204549.22035456</v>
      </c>
      <c r="D8" s="8" t="s">
        <v>3</v>
      </c>
      <c r="E8" s="1"/>
    </row>
    <row r="9" spans="1:5" ht="15" customHeight="1" x14ac:dyDescent="0.25">
      <c r="A9" s="1"/>
      <c r="B9" s="41" t="s">
        <v>42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41" t="s">
        <v>41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2" t="s">
        <v>27</v>
      </c>
      <c r="C11" s="9">
        <f>SUM(C8:C10)*'Fane 15. Nøgletal'!C12</f>
        <v>2131629.6196409846</v>
      </c>
      <c r="D11" s="8" t="s">
        <v>3</v>
      </c>
      <c r="E11" s="1"/>
    </row>
    <row r="12" spans="1:5" ht="15" customHeight="1" x14ac:dyDescent="0.25">
      <c r="A12" s="1"/>
      <c r="B12" s="42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2" t="s">
        <v>39</v>
      </c>
      <c r="C13" s="9">
        <f>-'Fane 4.1. Gen. krav - drift'!G42</f>
        <v>-380714.13429103798</v>
      </c>
      <c r="D13" s="8" t="s">
        <v>3</v>
      </c>
      <c r="E13" s="1"/>
    </row>
    <row r="14" spans="1:5" ht="15" customHeight="1" x14ac:dyDescent="0.25">
      <c r="A14" s="1"/>
      <c r="B14" s="42" t="s">
        <v>40</v>
      </c>
      <c r="C14" s="9">
        <f>-'Fane 4.2. Gen. krav - anlæg'!G40</f>
        <v>-2607028.8987858114</v>
      </c>
      <c r="D14" s="8" t="s">
        <v>3</v>
      </c>
      <c r="E14" s="1"/>
    </row>
    <row r="15" spans="1:5" x14ac:dyDescent="0.25">
      <c r="A15" s="1"/>
      <c r="B15" s="46" t="s">
        <v>29</v>
      </c>
      <c r="C15" s="10">
        <f>SUM(C8:C14)</f>
        <v>107348435.8069187</v>
      </c>
      <c r="D15" s="11" t="s">
        <v>3</v>
      </c>
      <c r="E15" s="1"/>
    </row>
    <row r="16" spans="1:5" x14ac:dyDescent="0.25">
      <c r="A16" s="1"/>
      <c r="B16" s="43" t="s">
        <v>17</v>
      </c>
      <c r="C16" s="44"/>
      <c r="D16" s="22"/>
      <c r="E16" s="1"/>
    </row>
    <row r="17" spans="1:5" ht="15" customHeight="1" x14ac:dyDescent="0.25">
      <c r="A17" s="1"/>
      <c r="B17" s="38" t="s">
        <v>17</v>
      </c>
      <c r="C17" s="10">
        <f>'Fane 6. Ikke-påvirkelige omk.'!C15*(1+'Fane 15. Nøgletal'!C12)^2+'Fane 6. Ikke-påvirkelige omk.'!C21+'Fane 6. Ikke-påvirkelige omk.'!C29</f>
        <v>32038219.274632923</v>
      </c>
      <c r="D17" s="11" t="s">
        <v>3</v>
      </c>
      <c r="E17" s="1"/>
    </row>
    <row r="18" spans="1:5" ht="15" customHeight="1" x14ac:dyDescent="0.25">
      <c r="A18" s="1"/>
      <c r="B18" s="43" t="s">
        <v>143</v>
      </c>
      <c r="C18" s="44"/>
      <c r="D18" s="22"/>
      <c r="E18" s="1"/>
    </row>
    <row r="19" spans="1:5" ht="15" customHeight="1" x14ac:dyDescent="0.25">
      <c r="A19" s="1"/>
      <c r="B19" s="45" t="s">
        <v>144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43" t="s">
        <v>142</v>
      </c>
      <c r="C20" s="44"/>
      <c r="D20" s="22"/>
      <c r="E20" s="1"/>
    </row>
    <row r="21" spans="1:5" ht="15" customHeight="1" x14ac:dyDescent="0.25">
      <c r="A21" s="1"/>
      <c r="B21" s="51" t="s">
        <v>138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51" t="s">
        <v>139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5" t="s">
        <v>145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43" t="s">
        <v>171</v>
      </c>
      <c r="C24" s="44"/>
      <c r="D24" s="22"/>
      <c r="E24" s="1"/>
    </row>
    <row r="25" spans="1:5" ht="15" customHeight="1" x14ac:dyDescent="0.25">
      <c r="A25" s="1"/>
      <c r="B25" s="38" t="s">
        <v>211</v>
      </c>
      <c r="C25" s="10">
        <f>'Fane 7. Kontrol af ØR2018'!E28</f>
        <v>0</v>
      </c>
      <c r="D25" s="11" t="s">
        <v>3</v>
      </c>
      <c r="E25" s="1"/>
    </row>
    <row r="26" spans="1:5" x14ac:dyDescent="0.25">
      <c r="A26" s="1"/>
      <c r="B26" s="43" t="s">
        <v>46</v>
      </c>
      <c r="C26" s="12">
        <f>SUM(C15,C17,C19,C23,C25)</f>
        <v>139386655.08155161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Vo70F5XdsJnUIVdwalxSatud+/uEi6XmICP9iww1fumw/0VM9+P6SxAabhBGPE7Bp9xd8Y3PtedmTj8LnjKyqA==" saltValue="20nNrLCm47e3jB2+yVtnt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216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30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3" t="s">
        <v>20</v>
      </c>
      <c r="C7" s="44"/>
      <c r="D7" s="22"/>
      <c r="E7" s="1"/>
    </row>
    <row r="8" spans="1:5" ht="15" customHeight="1" x14ac:dyDescent="0.25">
      <c r="A8" s="1"/>
      <c r="B8" s="41" t="s">
        <v>220</v>
      </c>
      <c r="C8" s="7">
        <f>'Fane 2.3. Økonomisk ramme 2022'!C15</f>
        <v>107348435.8069187</v>
      </c>
      <c r="D8" s="8" t="s">
        <v>3</v>
      </c>
      <c r="E8" s="1"/>
    </row>
    <row r="9" spans="1:5" ht="15" customHeight="1" x14ac:dyDescent="0.25">
      <c r="A9" s="1"/>
      <c r="B9" s="41" t="s">
        <v>42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41" t="s">
        <v>41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2" t="s">
        <v>27</v>
      </c>
      <c r="C11" s="9">
        <f>C8*'Fane 15. Nøgletal'!C12</f>
        <v>2114764.1853962983</v>
      </c>
      <c r="D11" s="8" t="s">
        <v>3</v>
      </c>
      <c r="E11" s="1"/>
    </row>
    <row r="12" spans="1:5" ht="15" customHeight="1" x14ac:dyDescent="0.25">
      <c r="A12" s="1"/>
      <c r="B12" s="42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2" t="s">
        <v>39</v>
      </c>
      <c r="C13" s="9">
        <f>-'Fane 4.1. Gen. krav - drift'!G48</f>
        <v>-380449.91868184</v>
      </c>
      <c r="D13" s="8" t="s">
        <v>3</v>
      </c>
      <c r="E13" s="1"/>
    </row>
    <row r="14" spans="1:5" ht="15" customHeight="1" x14ac:dyDescent="0.25">
      <c r="A14" s="1"/>
      <c r="B14" s="42" t="s">
        <v>40</v>
      </c>
      <c r="C14" s="9">
        <f>-'Fane 4.2. Gen. krav - anlæg'!G46</f>
        <v>-2582889.1668380825</v>
      </c>
      <c r="D14" s="8" t="s">
        <v>3</v>
      </c>
      <c r="E14" s="1"/>
    </row>
    <row r="15" spans="1:5" x14ac:dyDescent="0.25">
      <c r="A15" s="1"/>
      <c r="B15" s="46" t="s">
        <v>29</v>
      </c>
      <c r="C15" s="10">
        <f>SUM(C8:C14)</f>
        <v>106499860.90679507</v>
      </c>
      <c r="D15" s="11" t="s">
        <v>3</v>
      </c>
      <c r="E15" s="1"/>
    </row>
    <row r="16" spans="1:5" x14ac:dyDescent="0.25">
      <c r="A16" s="1"/>
      <c r="B16" s="43" t="s">
        <v>17</v>
      </c>
      <c r="C16" s="44"/>
      <c r="D16" s="22"/>
      <c r="E16" s="1"/>
    </row>
    <row r="17" spans="1:5" ht="15" customHeight="1" x14ac:dyDescent="0.25">
      <c r="A17" s="1"/>
      <c r="B17" s="38" t="s">
        <v>17</v>
      </c>
      <c r="C17" s="10">
        <f>'Fane 6. Ikke-påvirkelige omk.'!C15*(1+'Fane 15. Nøgletal'!C12)^3+'Fane 6. Ikke-påvirkelige omk.'!C22+'Fane 6. Ikke-påvirkelige omk.'!C30</f>
        <v>31771974.889543191</v>
      </c>
      <c r="D17" s="11" t="s">
        <v>3</v>
      </c>
      <c r="E17" s="1"/>
    </row>
    <row r="18" spans="1:5" ht="15" customHeight="1" x14ac:dyDescent="0.25">
      <c r="A18" s="1"/>
      <c r="B18" s="43" t="s">
        <v>143</v>
      </c>
      <c r="C18" s="44"/>
      <c r="D18" s="22"/>
      <c r="E18" s="1"/>
    </row>
    <row r="19" spans="1:5" ht="15" customHeight="1" x14ac:dyDescent="0.25">
      <c r="A19" s="1"/>
      <c r="B19" s="45" t="s">
        <v>144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43" t="s">
        <v>142</v>
      </c>
      <c r="C20" s="44"/>
      <c r="D20" s="22"/>
      <c r="E20" s="1"/>
    </row>
    <row r="21" spans="1:5" ht="15" customHeight="1" x14ac:dyDescent="0.25">
      <c r="A21" s="1"/>
      <c r="B21" s="51" t="s">
        <v>138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51" t="s">
        <v>139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45" t="s">
        <v>145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43" t="s">
        <v>171</v>
      </c>
      <c r="C24" s="44"/>
      <c r="D24" s="22"/>
      <c r="E24" s="1"/>
    </row>
    <row r="25" spans="1:5" ht="15" customHeight="1" x14ac:dyDescent="0.25">
      <c r="A25" s="1"/>
      <c r="B25" s="38" t="s">
        <v>211</v>
      </c>
      <c r="C25" s="10">
        <f>'Fane 2.3. Økonomisk ramme 2022'!C25</f>
        <v>0</v>
      </c>
      <c r="D25" s="11" t="s">
        <v>3</v>
      </c>
      <c r="E25" s="1"/>
    </row>
    <row r="26" spans="1:5" x14ac:dyDescent="0.25">
      <c r="A26" s="1"/>
      <c r="B26" s="43" t="s">
        <v>156</v>
      </c>
      <c r="C26" s="12">
        <f>SUM(C15,C17,C19,C23,C25)</f>
        <v>138271835.79633826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GOW6HDgqKf9RBSNsRlZzQT2yQncfQjV4Eb0cwu5BwD/9SlJS1dGqs6jcOh4Ug3nG0H+fq/hnbaHeDiPjdmf8LA==" saltValue="1wcJqObz8USRV/ZC6oPnT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254</v>
      </c>
      <c r="C3" s="96"/>
      <c r="D3" s="96"/>
      <c r="E3" s="96"/>
      <c r="F3" s="96"/>
      <c r="G3" s="1"/>
    </row>
    <row r="4" spans="1:7" ht="29.2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81</v>
      </c>
      <c r="C8" s="44"/>
      <c r="D8" s="44"/>
      <c r="E8" s="44"/>
      <c r="F8" s="22"/>
      <c r="G8" s="1"/>
    </row>
    <row r="9" spans="1:7" x14ac:dyDescent="0.25">
      <c r="A9" s="1"/>
      <c r="B9" s="97" t="s">
        <v>79</v>
      </c>
      <c r="C9" s="98"/>
      <c r="D9" s="99"/>
      <c r="E9" s="7">
        <v>106999701.06495276</v>
      </c>
      <c r="F9" s="8" t="s">
        <v>3</v>
      </c>
      <c r="G9" s="1"/>
    </row>
    <row r="10" spans="1:7" x14ac:dyDescent="0.25">
      <c r="A10" s="1"/>
      <c r="B10" s="84" t="s">
        <v>64</v>
      </c>
      <c r="C10" s="85"/>
      <c r="D10" s="86"/>
      <c r="E10" s="7">
        <v>0</v>
      </c>
      <c r="F10" s="8" t="s">
        <v>3</v>
      </c>
      <c r="G10" s="1"/>
    </row>
    <row r="11" spans="1:7" x14ac:dyDescent="0.25">
      <c r="A11" s="1"/>
      <c r="B11" s="84" t="s">
        <v>65</v>
      </c>
      <c r="C11" s="85"/>
      <c r="D11" s="86"/>
      <c r="E11" s="9">
        <v>1177363.7692999998</v>
      </c>
      <c r="F11" s="8" t="s">
        <v>3</v>
      </c>
      <c r="G11" s="1"/>
    </row>
    <row r="12" spans="1:7" x14ac:dyDescent="0.25">
      <c r="A12" s="1"/>
      <c r="B12" s="84" t="s">
        <v>42</v>
      </c>
      <c r="C12" s="85"/>
      <c r="D12" s="86"/>
      <c r="E12" s="9">
        <v>0</v>
      </c>
      <c r="F12" s="8" t="s">
        <v>3</v>
      </c>
      <c r="G12" s="1"/>
    </row>
    <row r="13" spans="1:7" x14ac:dyDescent="0.25">
      <c r="A13" s="1"/>
      <c r="B13" s="84" t="s">
        <v>41</v>
      </c>
      <c r="C13" s="85"/>
      <c r="D13" s="86"/>
      <c r="E13" s="9">
        <v>0</v>
      </c>
      <c r="F13" s="8" t="s">
        <v>3</v>
      </c>
      <c r="G13" s="1"/>
    </row>
    <row r="14" spans="1:7" x14ac:dyDescent="0.25">
      <c r="A14" s="1"/>
      <c r="B14" s="84" t="s">
        <v>44</v>
      </c>
      <c r="C14" s="85"/>
      <c r="D14" s="86"/>
      <c r="E14" s="9">
        <v>0</v>
      </c>
      <c r="F14" s="8" t="s">
        <v>3</v>
      </c>
      <c r="G14" s="1"/>
    </row>
    <row r="15" spans="1:7" x14ac:dyDescent="0.25">
      <c r="A15" s="1"/>
      <c r="B15" s="84" t="s">
        <v>43</v>
      </c>
      <c r="C15" s="85"/>
      <c r="D15" s="86"/>
      <c r="E15" s="9">
        <v>0</v>
      </c>
      <c r="F15" s="8" t="s">
        <v>3</v>
      </c>
      <c r="G15" s="1"/>
    </row>
    <row r="16" spans="1:7" x14ac:dyDescent="0.25">
      <c r="A16" s="1"/>
      <c r="B16" s="84" t="s">
        <v>27</v>
      </c>
      <c r="C16" s="85"/>
      <c r="D16" s="86"/>
      <c r="E16" s="9">
        <f>E9*'Fane 15. Nøgletal'!C10+SUM(E10:E15)*'Fane 15. Nøgletal'!C11</f>
        <v>1892392.2163378436</v>
      </c>
      <c r="F16" s="8" t="s">
        <v>3</v>
      </c>
      <c r="G16" s="1"/>
    </row>
    <row r="17" spans="1:7" x14ac:dyDescent="0.25">
      <c r="A17" s="1"/>
      <c r="B17" s="84" t="s">
        <v>10</v>
      </c>
      <c r="C17" s="85"/>
      <c r="D17" s="86"/>
      <c r="E17" s="9">
        <f>-SUM(E9:E16)*'Fane 5. Individuelt eff. krav'!G10</f>
        <v>0</v>
      </c>
      <c r="F17" s="8" t="s">
        <v>3</v>
      </c>
      <c r="G17" s="1"/>
    </row>
    <row r="18" spans="1:7" x14ac:dyDescent="0.25">
      <c r="A18" s="1"/>
      <c r="B18" s="84" t="s">
        <v>39</v>
      </c>
      <c r="C18" s="85"/>
      <c r="D18" s="86"/>
      <c r="E18" s="9">
        <f>-'Fane 4.1. Gen. krav - drift'!G21</f>
        <v>-383159.42993135192</v>
      </c>
      <c r="F18" s="8" t="s">
        <v>3</v>
      </c>
      <c r="G18" s="1"/>
    </row>
    <row r="19" spans="1:7" x14ac:dyDescent="0.25">
      <c r="A19" s="1"/>
      <c r="B19" s="84" t="s">
        <v>40</v>
      </c>
      <c r="C19" s="85"/>
      <c r="D19" s="86"/>
      <c r="E19" s="9">
        <f>-'Fane 4.2. Gen. krav - anlæg'!G19</f>
        <v>-1606679.294752487</v>
      </c>
      <c r="F19" s="8" t="s">
        <v>3</v>
      </c>
      <c r="G19" s="1"/>
    </row>
    <row r="20" spans="1:7" x14ac:dyDescent="0.25">
      <c r="A20" s="1"/>
      <c r="B20" s="87" t="s">
        <v>29</v>
      </c>
      <c r="C20" s="88"/>
      <c r="D20" s="89"/>
      <c r="E20" s="10">
        <f>SUM(E9:E19)</f>
        <v>108079618.32590675</v>
      </c>
      <c r="F20" s="11" t="s">
        <v>3</v>
      </c>
      <c r="G20" s="1"/>
    </row>
    <row r="21" spans="1:7" x14ac:dyDescent="0.25">
      <c r="A21" s="1"/>
      <c r="B21" s="75" t="s">
        <v>143</v>
      </c>
      <c r="C21" s="76"/>
      <c r="D21" s="76"/>
      <c r="E21" s="76"/>
      <c r="F21" s="77"/>
      <c r="G21" s="1"/>
    </row>
    <row r="22" spans="1:7" x14ac:dyDescent="0.25">
      <c r="A22" s="1"/>
      <c r="B22" s="78" t="s">
        <v>250</v>
      </c>
      <c r="C22" s="79"/>
      <c r="D22" s="80"/>
      <c r="E22" s="35">
        <v>0</v>
      </c>
      <c r="F22" s="8" t="s">
        <v>3</v>
      </c>
      <c r="G22" s="1"/>
    </row>
    <row r="23" spans="1:7" x14ac:dyDescent="0.25">
      <c r="A23" s="1"/>
      <c r="B23" s="78" t="s">
        <v>251</v>
      </c>
      <c r="C23" s="79"/>
      <c r="D23" s="80"/>
      <c r="E23" s="35">
        <f>-E22*('Fane 15. Nøgletal'!C25+'Fane 5. Individuelt eff. krav'!G10)</f>
        <v>0</v>
      </c>
      <c r="F23" s="8" t="s">
        <v>3</v>
      </c>
      <c r="G23" s="1"/>
    </row>
    <row r="24" spans="1:7" x14ac:dyDescent="0.25">
      <c r="A24" s="1"/>
      <c r="B24" s="81" t="s">
        <v>252</v>
      </c>
      <c r="C24" s="82"/>
      <c r="D24" s="83"/>
      <c r="E24" s="10">
        <f>SUM(E22:E23)</f>
        <v>0</v>
      </c>
      <c r="F24" s="11" t="s">
        <v>3</v>
      </c>
      <c r="G24" s="1"/>
    </row>
    <row r="25" spans="1:7" x14ac:dyDescent="0.25">
      <c r="A25" s="1"/>
      <c r="B25" s="100" t="s">
        <v>17</v>
      </c>
      <c r="C25" s="101"/>
      <c r="D25" s="101"/>
      <c r="E25" s="44"/>
      <c r="F25" s="22"/>
      <c r="G25" s="1"/>
    </row>
    <row r="26" spans="1:7" x14ac:dyDescent="0.25">
      <c r="A26" s="1"/>
      <c r="B26" s="93" t="s">
        <v>17</v>
      </c>
      <c r="C26" s="94"/>
      <c r="D26" s="95"/>
      <c r="E26" s="10">
        <v>38878973.404803433</v>
      </c>
      <c r="F26" s="11" t="s">
        <v>3</v>
      </c>
      <c r="G26" s="1"/>
    </row>
    <row r="27" spans="1:7" x14ac:dyDescent="0.25">
      <c r="A27" s="1"/>
      <c r="B27" s="43" t="s">
        <v>80</v>
      </c>
      <c r="C27" s="44"/>
      <c r="D27" s="44"/>
      <c r="E27" s="44"/>
      <c r="F27" s="22"/>
      <c r="G27" s="1"/>
    </row>
    <row r="28" spans="1:7" ht="27" customHeight="1" x14ac:dyDescent="0.25">
      <c r="A28" s="1"/>
      <c r="B28" s="90" t="s">
        <v>132</v>
      </c>
      <c r="C28" s="91"/>
      <c r="D28" s="92"/>
      <c r="E28" s="10">
        <v>-1805685.7111216006</v>
      </c>
      <c r="F28" s="11" t="s">
        <v>3</v>
      </c>
      <c r="G28" s="1"/>
    </row>
    <row r="29" spans="1:7" x14ac:dyDescent="0.25">
      <c r="A29" s="1"/>
      <c r="B29" s="43" t="s">
        <v>11</v>
      </c>
      <c r="C29" s="44"/>
      <c r="D29" s="44"/>
      <c r="E29" s="44"/>
      <c r="F29" s="22"/>
      <c r="G29" s="1"/>
    </row>
    <row r="30" spans="1:7" x14ac:dyDescent="0.25">
      <c r="A30" s="1"/>
      <c r="B30" s="93" t="s">
        <v>19</v>
      </c>
      <c r="C30" s="94"/>
      <c r="D30" s="95"/>
      <c r="E30" s="10">
        <v>-4876505</v>
      </c>
      <c r="F30" s="11" t="s">
        <v>3</v>
      </c>
      <c r="G30" s="1"/>
    </row>
    <row r="31" spans="1:7" x14ac:dyDescent="0.25">
      <c r="A31" s="1"/>
      <c r="B31" s="43" t="s">
        <v>24</v>
      </c>
      <c r="C31" s="44"/>
      <c r="D31" s="44"/>
      <c r="E31" s="12">
        <f>SUM(E30,E28,E26,E20,E24)</f>
        <v>140276401.01958859</v>
      </c>
      <c r="F31" s="13" t="s">
        <v>3</v>
      </c>
      <c r="G31" s="1"/>
    </row>
    <row r="32" spans="1:7" ht="27" customHeight="1" x14ac:dyDescent="0.25">
      <c r="A32" s="1"/>
      <c r="B32" s="78" t="s">
        <v>209</v>
      </c>
      <c r="C32" s="79"/>
      <c r="D32" s="79"/>
      <c r="E32" s="79"/>
      <c r="F32" s="80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Erz5M8UFz4zUcNtpMHaAOo8SapiJLeGWiP+Kwx3OjuaOJS3htwknojgMvKl39y1rA5Z4e8Y+CuExc6by6mnEXg==" saltValue="Im1jjG2c900YpY+KF6sVfw==" spinCount="100000" sheet="1" objects="1" scenarios="1"/>
  <mergeCells count="22">
    <mergeCell ref="B32:F32"/>
    <mergeCell ref="B28:D28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25:D25"/>
    <mergeCell ref="B26:D26"/>
    <mergeCell ref="B16:D16"/>
    <mergeCell ref="B17:D17"/>
    <mergeCell ref="B18:D18"/>
    <mergeCell ref="B21:F21"/>
    <mergeCell ref="B22:D22"/>
    <mergeCell ref="B23:D23"/>
    <mergeCell ref="B24:D24"/>
    <mergeCell ref="B19:D19"/>
    <mergeCell ref="B20:D2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3" t="s">
        <v>235</v>
      </c>
      <c r="C1" s="73"/>
      <c r="D1" s="73"/>
      <c r="E1" s="73"/>
      <c r="F1" s="73"/>
      <c r="G1" s="73"/>
      <c r="H1" s="73"/>
      <c r="I1" s="1"/>
    </row>
    <row r="2" spans="1:9" ht="15" customHeight="1" x14ac:dyDescent="0.2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2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25">
      <c r="A4" s="1"/>
      <c r="B4" s="75" t="s">
        <v>94</v>
      </c>
      <c r="C4" s="76"/>
      <c r="D4" s="76"/>
      <c r="E4" s="76"/>
      <c r="F4" s="76"/>
      <c r="G4" s="76"/>
      <c r="H4" s="77"/>
      <c r="I4" s="1"/>
    </row>
    <row r="5" spans="1:9" x14ac:dyDescent="0.25">
      <c r="A5" s="1"/>
      <c r="B5" s="102" t="s">
        <v>83</v>
      </c>
      <c r="C5" s="103"/>
      <c r="D5" s="103"/>
      <c r="E5" s="103"/>
      <c r="F5" s="104"/>
      <c r="G5" s="26">
        <v>19267641</v>
      </c>
      <c r="H5" s="14" t="s">
        <v>3</v>
      </c>
      <c r="I5" s="1"/>
    </row>
    <row r="6" spans="1:9" x14ac:dyDescent="0.25">
      <c r="A6" s="1"/>
      <c r="B6" s="78" t="s">
        <v>253</v>
      </c>
      <c r="C6" s="79"/>
      <c r="D6" s="79"/>
      <c r="E6" s="79"/>
      <c r="F6" s="80"/>
      <c r="G6" s="26">
        <v>0</v>
      </c>
      <c r="H6" s="14" t="s">
        <v>3</v>
      </c>
      <c r="I6" s="1"/>
    </row>
    <row r="7" spans="1:9" x14ac:dyDescent="0.25">
      <c r="A7" s="1"/>
      <c r="B7" s="102" t="s">
        <v>84</v>
      </c>
      <c r="C7" s="103"/>
      <c r="D7" s="103"/>
      <c r="E7" s="103"/>
      <c r="F7" s="104"/>
      <c r="G7" s="26">
        <f>SUM(G5:G6)*'Fane 15. Nøgletal'!C25</f>
        <v>385352.82</v>
      </c>
      <c r="H7" s="14" t="s">
        <v>3</v>
      </c>
      <c r="I7" s="1"/>
    </row>
    <row r="8" spans="1:9" x14ac:dyDescent="0.25">
      <c r="A8" s="1"/>
      <c r="B8" s="43"/>
      <c r="C8" s="44"/>
      <c r="D8" s="44"/>
      <c r="E8" s="44"/>
      <c r="F8" s="44"/>
      <c r="G8" s="44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75" t="s">
        <v>95</v>
      </c>
      <c r="C10" s="76"/>
      <c r="D10" s="76"/>
      <c r="E10" s="76"/>
      <c r="F10" s="76"/>
      <c r="G10" s="76"/>
      <c r="H10" s="77"/>
      <c r="I10" s="1"/>
    </row>
    <row r="11" spans="1:9" x14ac:dyDescent="0.25">
      <c r="A11" s="1"/>
      <c r="B11" s="102" t="s">
        <v>85</v>
      </c>
      <c r="C11" s="103"/>
      <c r="D11" s="103"/>
      <c r="E11" s="103"/>
      <c r="F11" s="104"/>
      <c r="G11" s="26">
        <f>(G5-G7)*(1+'Fane 15. Nøgletal'!C10)</f>
        <v>19212728.22315</v>
      </c>
      <c r="H11" s="14" t="s">
        <v>3</v>
      </c>
      <c r="I11" s="1"/>
    </row>
    <row r="12" spans="1:9" x14ac:dyDescent="0.25">
      <c r="A12" s="1"/>
      <c r="B12" s="102" t="s">
        <v>256</v>
      </c>
      <c r="C12" s="103"/>
      <c r="D12" s="103"/>
      <c r="E12" s="103"/>
      <c r="F12" s="104"/>
      <c r="G12" s="26">
        <v>-0.4524358685780317</v>
      </c>
      <c r="H12" s="14" t="s">
        <v>3</v>
      </c>
      <c r="I12" s="1"/>
    </row>
    <row r="13" spans="1:9" x14ac:dyDescent="0.25">
      <c r="A13" s="1"/>
      <c r="B13" s="78" t="s">
        <v>250</v>
      </c>
      <c r="C13" s="79"/>
      <c r="D13" s="79"/>
      <c r="E13" s="79"/>
      <c r="F13" s="80"/>
      <c r="G13" s="26">
        <v>0</v>
      </c>
      <c r="H13" s="14" t="s">
        <v>3</v>
      </c>
      <c r="I13" s="1"/>
    </row>
    <row r="14" spans="1:9" x14ac:dyDescent="0.25">
      <c r="A14" s="1"/>
      <c r="B14" s="108" t="s">
        <v>86</v>
      </c>
      <c r="C14" s="106"/>
      <c r="D14" s="106"/>
      <c r="E14" s="106"/>
      <c r="F14" s="107"/>
      <c r="G14" s="26">
        <v>0</v>
      </c>
      <c r="H14" s="14" t="s">
        <v>3</v>
      </c>
      <c r="I14" s="1"/>
    </row>
    <row r="15" spans="1:9" x14ac:dyDescent="0.25">
      <c r="A15" s="1"/>
      <c r="B15" s="102" t="s">
        <v>87</v>
      </c>
      <c r="C15" s="103"/>
      <c r="D15" s="103"/>
      <c r="E15" s="103"/>
      <c r="F15" s="104"/>
      <c r="G15" s="26">
        <f>SUM(G11:G14)*'Fane 15. Nøgletal'!C25</f>
        <v>384254.5554142826</v>
      </c>
      <c r="H15" s="14" t="s">
        <v>3</v>
      </c>
      <c r="I15" s="1"/>
    </row>
    <row r="16" spans="1:9" x14ac:dyDescent="0.25">
      <c r="A16" s="1"/>
      <c r="B16" s="43"/>
      <c r="C16" s="44"/>
      <c r="D16" s="44"/>
      <c r="E16" s="44"/>
      <c r="F16" s="44"/>
      <c r="G16" s="44"/>
      <c r="H16" s="22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75" t="s">
        <v>96</v>
      </c>
      <c r="C18" s="76"/>
      <c r="D18" s="76"/>
      <c r="E18" s="76"/>
      <c r="F18" s="76"/>
      <c r="G18" s="76"/>
      <c r="H18" s="77"/>
      <c r="I18" s="1"/>
    </row>
    <row r="19" spans="1:9" x14ac:dyDescent="0.25">
      <c r="A19" s="1"/>
      <c r="B19" s="102" t="s">
        <v>88</v>
      </c>
      <c r="C19" s="103"/>
      <c r="D19" s="103"/>
      <c r="E19" s="103"/>
      <c r="F19" s="104"/>
      <c r="G19" s="26">
        <f>(G11+G12+G14-G15)*(1+'Fane 15. Nøgletal'!C10)</f>
        <v>19157971.496567596</v>
      </c>
      <c r="H19" s="14" t="s">
        <v>3</v>
      </c>
      <c r="I19" s="1"/>
    </row>
    <row r="20" spans="1:9" x14ac:dyDescent="0.25">
      <c r="A20" s="1"/>
      <c r="B20" s="108" t="s">
        <v>89</v>
      </c>
      <c r="C20" s="106"/>
      <c r="D20" s="106"/>
      <c r="E20" s="106"/>
      <c r="F20" s="107"/>
      <c r="G20" s="26">
        <v>0</v>
      </c>
      <c r="H20" s="14" t="s">
        <v>3</v>
      </c>
      <c r="I20" s="1"/>
    </row>
    <row r="21" spans="1:9" x14ac:dyDescent="0.25">
      <c r="A21" s="1"/>
      <c r="B21" s="102" t="s">
        <v>90</v>
      </c>
      <c r="C21" s="103"/>
      <c r="D21" s="103"/>
      <c r="E21" s="103"/>
      <c r="F21" s="104"/>
      <c r="G21" s="26">
        <f>(G19+G20)*'Fane 15. Nøgletal'!C25</f>
        <v>383159.42993135192</v>
      </c>
      <c r="H21" s="14" t="s">
        <v>3</v>
      </c>
      <c r="I21" s="1"/>
    </row>
    <row r="22" spans="1:9" x14ac:dyDescent="0.25">
      <c r="A22" s="1"/>
      <c r="B22" s="43"/>
      <c r="C22" s="44"/>
      <c r="D22" s="44"/>
      <c r="E22" s="44"/>
      <c r="F22" s="44"/>
      <c r="G22" s="44"/>
      <c r="H22" s="22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75" t="s">
        <v>97</v>
      </c>
      <c r="C24" s="76"/>
      <c r="D24" s="76"/>
      <c r="E24" s="76"/>
      <c r="F24" s="76"/>
      <c r="G24" s="76"/>
      <c r="H24" s="77"/>
      <c r="I24" s="1"/>
    </row>
    <row r="25" spans="1:9" x14ac:dyDescent="0.25">
      <c r="A25" s="1"/>
      <c r="B25" s="102" t="s">
        <v>91</v>
      </c>
      <c r="C25" s="103"/>
      <c r="D25" s="103"/>
      <c r="E25" s="103"/>
      <c r="F25" s="104"/>
      <c r="G25" s="26">
        <f>G19*(1-'Fane 15. Nøgletal'!C25)*(1+'Fane 15. Nøgletal'!C10)+G20*(1-'Fane 15. Nøgletal'!C25)*(1+'Fane 15. Nøgletal'!C11)</f>
        <v>19103371.277802378</v>
      </c>
      <c r="H25" s="14" t="s">
        <v>3</v>
      </c>
      <c r="I25" s="1"/>
    </row>
    <row r="26" spans="1:9" x14ac:dyDescent="0.25">
      <c r="A26" s="1"/>
      <c r="B26" s="105" t="s">
        <v>248</v>
      </c>
      <c r="C26" s="106"/>
      <c r="D26" s="106"/>
      <c r="E26" s="106"/>
      <c r="F26" s="107"/>
      <c r="G26" s="26">
        <f>G20*(1-'Fane 15. Nøgletal'!C25)*(1+'Fane 15. Nøgletal'!C11)</f>
        <v>0</v>
      </c>
      <c r="H26" s="14" t="s">
        <v>3</v>
      </c>
      <c r="I26" s="1"/>
    </row>
    <row r="27" spans="1:9" x14ac:dyDescent="0.25">
      <c r="A27" s="1"/>
      <c r="B27" s="108" t="s">
        <v>92</v>
      </c>
      <c r="C27" s="106"/>
      <c r="D27" s="106"/>
      <c r="E27" s="106"/>
      <c r="F27" s="107"/>
      <c r="G27" s="26">
        <f>('Fane 2.1. Økonomisk ramme 2020'!C12+'Fane 2.1. Økonomisk ramme 2020'!C14+'Fane 2.1. Økonomisk ramme 2020'!C16)*(1+'Fane 15. Nøgletal'!C12)</f>
        <v>0</v>
      </c>
      <c r="H27" s="14" t="s">
        <v>3</v>
      </c>
      <c r="I27" s="1"/>
    </row>
    <row r="28" spans="1:9" x14ac:dyDescent="0.25">
      <c r="A28" s="1"/>
      <c r="B28" s="102" t="s">
        <v>93</v>
      </c>
      <c r="C28" s="103"/>
      <c r="D28" s="103"/>
      <c r="E28" s="103"/>
      <c r="F28" s="104"/>
      <c r="G28" s="26">
        <f>SUM(G25,G27)*'Fane 15. Nøgletal'!C25</f>
        <v>382067.42555604759</v>
      </c>
      <c r="H28" s="14" t="s">
        <v>3</v>
      </c>
      <c r="I28" s="1"/>
    </row>
    <row r="29" spans="1:9" x14ac:dyDescent="0.25">
      <c r="A29" s="1"/>
      <c r="B29" s="43"/>
      <c r="C29" s="44"/>
      <c r="D29" s="44"/>
      <c r="E29" s="44"/>
      <c r="F29" s="44"/>
      <c r="G29" s="4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75" t="s">
        <v>100</v>
      </c>
      <c r="C31" s="76"/>
      <c r="D31" s="76"/>
      <c r="E31" s="76"/>
      <c r="F31" s="76"/>
      <c r="G31" s="76"/>
      <c r="H31" s="77"/>
      <c r="I31" s="1"/>
    </row>
    <row r="32" spans="1:9" x14ac:dyDescent="0.25">
      <c r="A32" s="1"/>
      <c r="B32" s="102" t="s">
        <v>101</v>
      </c>
      <c r="C32" s="103"/>
      <c r="D32" s="103"/>
      <c r="E32" s="103"/>
      <c r="F32" s="104"/>
      <c r="G32" s="26">
        <f>(G25-G26)*(1-'Fane 15. Nøgletal'!C25)*(1+'Fane 15. Nøgletal'!C10)+G26*(1-'Fane 15. Nøgletal'!C25)*(1+'Fane 15. Nøgletal'!C11)+G27*(1-'Fane 15. Nøgletal'!C25)*(1+'Fane 15. Nøgletal'!C12)</f>
        <v>19048926.669660643</v>
      </c>
      <c r="H32" s="14" t="s">
        <v>3</v>
      </c>
      <c r="I32" s="1"/>
    </row>
    <row r="33" spans="1:9" x14ac:dyDescent="0.25">
      <c r="A33" s="1"/>
      <c r="B33" s="105" t="s">
        <v>248</v>
      </c>
      <c r="C33" s="106"/>
      <c r="D33" s="106"/>
      <c r="E33" s="106"/>
      <c r="F33" s="107"/>
      <c r="G33" s="26">
        <f>G26*(1-'Fane 15. Nøgletal'!C25)*(1+'Fane 15. Nøgletal'!C11)</f>
        <v>0</v>
      </c>
      <c r="H33" s="14" t="s">
        <v>3</v>
      </c>
      <c r="I33" s="1"/>
    </row>
    <row r="34" spans="1:9" x14ac:dyDescent="0.25">
      <c r="A34" s="1"/>
      <c r="B34" s="105" t="s">
        <v>249</v>
      </c>
      <c r="C34" s="106"/>
      <c r="D34" s="106"/>
      <c r="E34" s="106"/>
      <c r="F34" s="107"/>
      <c r="G34" s="26">
        <f>G27*(1-'Fane 15. Nøgletal'!C25)*(1+'Fane 15. Nøgletal'!C12)</f>
        <v>0</v>
      </c>
      <c r="H34" s="14" t="s">
        <v>3</v>
      </c>
      <c r="I34" s="1"/>
    </row>
    <row r="35" spans="1:9" x14ac:dyDescent="0.25">
      <c r="A35" s="1"/>
      <c r="B35" s="102" t="s">
        <v>147</v>
      </c>
      <c r="C35" s="103"/>
      <c r="D35" s="103"/>
      <c r="E35" s="103"/>
      <c r="F35" s="104"/>
      <c r="G35" s="26">
        <f>-'Fane 13. Bortfald'!C18*(1+'Fane 15. Nøgletal'!C12)</f>
        <v>0</v>
      </c>
      <c r="H35" s="14" t="s">
        <v>3</v>
      </c>
      <c r="I35" s="1"/>
    </row>
    <row r="36" spans="1:9" x14ac:dyDescent="0.25">
      <c r="A36" s="1"/>
      <c r="B36" s="102" t="s">
        <v>102</v>
      </c>
      <c r="C36" s="103"/>
      <c r="D36" s="103"/>
      <c r="E36" s="103"/>
      <c r="F36" s="104"/>
      <c r="G36" s="26">
        <f>SUM(G32,G35)*'Fane 15. Nøgletal'!C25</f>
        <v>380978.53339321289</v>
      </c>
      <c r="H36" s="14" t="s">
        <v>3</v>
      </c>
      <c r="I36" s="1"/>
    </row>
    <row r="37" spans="1:9" x14ac:dyDescent="0.25">
      <c r="A37" s="1"/>
      <c r="B37" s="43"/>
      <c r="C37" s="44"/>
      <c r="D37" s="44"/>
      <c r="E37" s="44"/>
      <c r="F37" s="44"/>
      <c r="G37" s="44"/>
      <c r="H37" s="22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75" t="s">
        <v>127</v>
      </c>
      <c r="C39" s="76"/>
      <c r="D39" s="76"/>
      <c r="E39" s="76"/>
      <c r="F39" s="76"/>
      <c r="G39" s="76"/>
      <c r="H39" s="77"/>
      <c r="I39" s="1"/>
    </row>
    <row r="40" spans="1:9" x14ac:dyDescent="0.25">
      <c r="A40" s="1"/>
      <c r="B40" s="102" t="s">
        <v>126</v>
      </c>
      <c r="C40" s="103"/>
      <c r="D40" s="103"/>
      <c r="E40" s="103"/>
      <c r="F40" s="104"/>
      <c r="G40" s="26">
        <f>(SUM(G32,G35)-G36)*(1+'Fane 15. Nøgletal'!C12)</f>
        <v>19035706.7145519</v>
      </c>
      <c r="H40" s="14" t="s">
        <v>3</v>
      </c>
      <c r="I40" s="1"/>
    </row>
    <row r="41" spans="1:9" x14ac:dyDescent="0.25">
      <c r="A41" s="1"/>
      <c r="B41" s="102" t="s">
        <v>148</v>
      </c>
      <c r="C41" s="103"/>
      <c r="D41" s="103"/>
      <c r="E41" s="103"/>
      <c r="F41" s="104"/>
      <c r="G41" s="26">
        <f>-'Fane 13. Bortfald'!C24*(1+'Fane 15. Nøgletal'!C12)</f>
        <v>0</v>
      </c>
      <c r="H41" s="14" t="s">
        <v>3</v>
      </c>
      <c r="I41" s="1"/>
    </row>
    <row r="42" spans="1:9" x14ac:dyDescent="0.25">
      <c r="A42" s="1"/>
      <c r="B42" s="102" t="s">
        <v>103</v>
      </c>
      <c r="C42" s="103"/>
      <c r="D42" s="103"/>
      <c r="E42" s="103"/>
      <c r="F42" s="104"/>
      <c r="G42" s="26">
        <f>(G40+G41)*'Fane 15. Nøgletal'!C25</f>
        <v>380714.13429103798</v>
      </c>
      <c r="H42" s="14" t="s">
        <v>3</v>
      </c>
      <c r="I42" s="1"/>
    </row>
    <row r="43" spans="1:9" x14ac:dyDescent="0.25">
      <c r="A43" s="1"/>
      <c r="B43" s="43"/>
      <c r="C43" s="44"/>
      <c r="D43" s="44"/>
      <c r="E43" s="44"/>
      <c r="F43" s="44"/>
      <c r="G43" s="44"/>
      <c r="H43" s="22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75" t="s">
        <v>128</v>
      </c>
      <c r="C45" s="76"/>
      <c r="D45" s="76"/>
      <c r="E45" s="76"/>
      <c r="F45" s="76"/>
      <c r="G45" s="76"/>
      <c r="H45" s="77"/>
      <c r="I45" s="1"/>
    </row>
    <row r="46" spans="1:9" x14ac:dyDescent="0.25">
      <c r="A46" s="1"/>
      <c r="B46" s="102" t="s">
        <v>125</v>
      </c>
      <c r="C46" s="103"/>
      <c r="D46" s="103"/>
      <c r="E46" s="103"/>
      <c r="F46" s="104"/>
      <c r="G46" s="26">
        <f>(G40-G42)*(1+'Fane 15. Nøgletal'!C12)</f>
        <v>19022495.934092</v>
      </c>
      <c r="H46" s="14" t="s">
        <v>3</v>
      </c>
      <c r="I46" s="1"/>
    </row>
    <row r="47" spans="1:9" x14ac:dyDescent="0.25">
      <c r="A47" s="1"/>
      <c r="B47" s="102" t="s">
        <v>149</v>
      </c>
      <c r="C47" s="103"/>
      <c r="D47" s="103"/>
      <c r="E47" s="103"/>
      <c r="F47" s="104"/>
      <c r="G47" s="26">
        <f>-'Fane 13. Bortfald'!C30*(1+'Fane 15. Nøgletal'!C12)</f>
        <v>0</v>
      </c>
      <c r="H47" s="14" t="s">
        <v>3</v>
      </c>
      <c r="I47" s="1"/>
    </row>
    <row r="48" spans="1:9" x14ac:dyDescent="0.25">
      <c r="A48" s="1"/>
      <c r="B48" s="102" t="s">
        <v>104</v>
      </c>
      <c r="C48" s="103"/>
      <c r="D48" s="103"/>
      <c r="E48" s="103"/>
      <c r="F48" s="104"/>
      <c r="G48" s="26">
        <f>(G46+G47)*'Fane 15. Nøgletal'!C25</f>
        <v>380449.91868184</v>
      </c>
      <c r="H48" s="14" t="s">
        <v>3</v>
      </c>
      <c r="I48" s="1"/>
    </row>
    <row r="49" spans="1:9" x14ac:dyDescent="0.25">
      <c r="A49" s="1"/>
      <c r="B49" s="43"/>
      <c r="C49" s="44"/>
      <c r="D49" s="44"/>
      <c r="E49" s="44"/>
      <c r="F49" s="44"/>
      <c r="G49" s="44"/>
      <c r="H49" s="22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qV8LW0n2SdLUYfHLKzwb+vC/lCZac6/nj9MMGQPsI9tjWZevb2mG7/o/xUxFNd3U3V/Pfd6yFElEyKiPgT9/w==" saltValue="j6X56qx39sk/HOewSLpg0w==" spinCount="100000" sheet="1" objects="1" scenarios="1"/>
  <mergeCells count="34">
    <mergeCell ref="B12:F12"/>
    <mergeCell ref="B1:H3"/>
    <mergeCell ref="B4:H4"/>
    <mergeCell ref="B5:F5"/>
    <mergeCell ref="B7:F7"/>
    <mergeCell ref="B11:F11"/>
    <mergeCell ref="B10:H10"/>
    <mergeCell ref="B6:F6"/>
    <mergeCell ref="B28:F28"/>
    <mergeCell ref="B36:F36"/>
    <mergeCell ref="B45:H45"/>
    <mergeCell ref="B46:F46"/>
    <mergeCell ref="B48:F48"/>
    <mergeCell ref="B41:F41"/>
    <mergeCell ref="B47:F47"/>
    <mergeCell ref="B39:H39"/>
    <mergeCell ref="B42:F42"/>
    <mergeCell ref="B40:F40"/>
    <mergeCell ref="B13:F13"/>
    <mergeCell ref="B35:F35"/>
    <mergeCell ref="B26:F26"/>
    <mergeCell ref="B33:F33"/>
    <mergeCell ref="B34:F34"/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9" t="s">
        <v>234</v>
      </c>
      <c r="C2" s="109"/>
      <c r="D2" s="109"/>
      <c r="E2" s="109"/>
      <c r="F2" s="109"/>
      <c r="G2" s="109"/>
      <c r="H2" s="109"/>
      <c r="I2" s="1"/>
    </row>
    <row r="3" spans="1:9" ht="18.75" x14ac:dyDescent="0.3">
      <c r="A3" s="1"/>
      <c r="B3" s="48"/>
      <c r="C3" s="48"/>
      <c r="D3" s="48"/>
      <c r="E3" s="48"/>
      <c r="F3" s="48"/>
      <c r="G3" s="48"/>
      <c r="H3" s="48"/>
      <c r="I3" s="1"/>
    </row>
    <row r="4" spans="1:9" x14ac:dyDescent="0.25">
      <c r="A4" s="1"/>
      <c r="B4" s="75" t="s">
        <v>98</v>
      </c>
      <c r="C4" s="76"/>
      <c r="D4" s="76"/>
      <c r="E4" s="76"/>
      <c r="F4" s="76"/>
      <c r="G4" s="76"/>
      <c r="H4" s="77"/>
      <c r="I4" s="1"/>
    </row>
    <row r="5" spans="1:9" x14ac:dyDescent="0.25">
      <c r="A5" s="1"/>
      <c r="B5" s="102" t="s">
        <v>105</v>
      </c>
      <c r="C5" s="103"/>
      <c r="D5" s="103"/>
      <c r="E5" s="103"/>
      <c r="F5" s="104"/>
      <c r="G5" s="26">
        <v>89658264</v>
      </c>
      <c r="H5" s="14" t="s">
        <v>3</v>
      </c>
      <c r="I5" s="1"/>
    </row>
    <row r="6" spans="1:9" x14ac:dyDescent="0.25">
      <c r="A6" s="1"/>
      <c r="B6" s="102" t="s">
        <v>99</v>
      </c>
      <c r="C6" s="103"/>
      <c r="D6" s="103"/>
      <c r="E6" s="103"/>
      <c r="F6" s="104"/>
      <c r="G6" s="26">
        <f>G5*'Fane 15. Nøgletal'!C17</f>
        <v>815890.20240000007</v>
      </c>
      <c r="H6" s="14" t="s">
        <v>3</v>
      </c>
      <c r="I6" s="1"/>
    </row>
    <row r="7" spans="1:9" x14ac:dyDescent="0.25">
      <c r="A7" s="1"/>
      <c r="B7" s="43"/>
      <c r="C7" s="44"/>
      <c r="D7" s="44"/>
      <c r="E7" s="44"/>
      <c r="F7" s="44"/>
      <c r="G7" s="4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75" t="s">
        <v>106</v>
      </c>
      <c r="C9" s="76"/>
      <c r="D9" s="76"/>
      <c r="E9" s="76"/>
      <c r="F9" s="76"/>
      <c r="G9" s="76"/>
      <c r="H9" s="77"/>
      <c r="I9" s="1"/>
    </row>
    <row r="10" spans="1:9" x14ac:dyDescent="0.25">
      <c r="A10" s="1"/>
      <c r="B10" s="102" t="s">
        <v>107</v>
      </c>
      <c r="C10" s="103"/>
      <c r="D10" s="103"/>
      <c r="E10" s="103"/>
      <c r="F10" s="104"/>
      <c r="G10" s="26">
        <f>(G5-G6)*(1+'Fane 15. Nøgletal'!C10)</f>
        <v>90397115.339058012</v>
      </c>
      <c r="H10" s="14" t="s">
        <v>3</v>
      </c>
      <c r="I10" s="1"/>
    </row>
    <row r="11" spans="1:9" x14ac:dyDescent="0.25">
      <c r="A11" s="1"/>
      <c r="B11" s="102" t="s">
        <v>257</v>
      </c>
      <c r="C11" s="103"/>
      <c r="D11" s="103"/>
      <c r="E11" s="103"/>
      <c r="F11" s="104"/>
      <c r="G11" s="26">
        <v>-166763.23263240879</v>
      </c>
      <c r="H11" s="14" t="s">
        <v>3</v>
      </c>
      <c r="I11" s="1"/>
    </row>
    <row r="12" spans="1:9" x14ac:dyDescent="0.25">
      <c r="A12" s="1"/>
      <c r="B12" s="108" t="s">
        <v>108</v>
      </c>
      <c r="C12" s="106"/>
      <c r="D12" s="106"/>
      <c r="E12" s="106"/>
      <c r="F12" s="107"/>
      <c r="G12" s="26">
        <v>0</v>
      </c>
      <c r="H12" s="14" t="s">
        <v>3</v>
      </c>
      <c r="I12" s="1"/>
    </row>
    <row r="13" spans="1:9" x14ac:dyDescent="0.25">
      <c r="A13" s="1"/>
      <c r="B13" s="102" t="s">
        <v>109</v>
      </c>
      <c r="C13" s="103"/>
      <c r="D13" s="103"/>
      <c r="E13" s="103"/>
      <c r="F13" s="104"/>
      <c r="G13" s="26">
        <f>SUM(G10:G12)*'Fane 15. Nøgletal'!C18</f>
        <v>1597077.2322837331</v>
      </c>
      <c r="H13" s="14" t="s">
        <v>3</v>
      </c>
      <c r="I13" s="1"/>
    </row>
    <row r="14" spans="1:9" x14ac:dyDescent="0.25">
      <c r="A14" s="1"/>
      <c r="B14" s="43"/>
      <c r="C14" s="44"/>
      <c r="D14" s="44"/>
      <c r="E14" s="44"/>
      <c r="F14" s="44"/>
      <c r="G14" s="4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75" t="s">
        <v>110</v>
      </c>
      <c r="C16" s="76"/>
      <c r="D16" s="76"/>
      <c r="E16" s="76"/>
      <c r="F16" s="76"/>
      <c r="G16" s="76"/>
      <c r="H16" s="77"/>
      <c r="I16" s="1"/>
    </row>
    <row r="17" spans="1:9" x14ac:dyDescent="0.25">
      <c r="A17" s="1"/>
      <c r="B17" s="102" t="s">
        <v>111</v>
      </c>
      <c r="C17" s="103"/>
      <c r="D17" s="103"/>
      <c r="E17" s="103"/>
      <c r="F17" s="104"/>
      <c r="G17" s="26">
        <f>(G10+G11+G12-G13)*(1+'Fane 15. Nøgletal'!C10)</f>
        <v>90184357.184439361</v>
      </c>
      <c r="H17" s="14" t="s">
        <v>3</v>
      </c>
      <c r="I17" s="1"/>
    </row>
    <row r="18" spans="1:9" x14ac:dyDescent="0.25">
      <c r="A18" s="1"/>
      <c r="B18" s="108" t="s">
        <v>112</v>
      </c>
      <c r="C18" s="106"/>
      <c r="D18" s="106"/>
      <c r="E18" s="106"/>
      <c r="F18" s="107"/>
      <c r="G18" s="26">
        <v>1197261.2170011697</v>
      </c>
      <c r="H18" s="14" t="s">
        <v>3</v>
      </c>
      <c r="I18" s="1"/>
    </row>
    <row r="19" spans="1:9" x14ac:dyDescent="0.25">
      <c r="A19" s="1"/>
      <c r="B19" s="102" t="s">
        <v>113</v>
      </c>
      <c r="C19" s="103"/>
      <c r="D19" s="103"/>
      <c r="E19" s="103"/>
      <c r="F19" s="104"/>
      <c r="G19" s="26">
        <f>G17*'Fane 15. Nøgletal'!C18+G18*'Fane 15. Nøgletal'!C19</f>
        <v>1606679.294752487</v>
      </c>
      <c r="H19" s="14" t="s">
        <v>3</v>
      </c>
      <c r="I19" s="1"/>
    </row>
    <row r="20" spans="1:9" x14ac:dyDescent="0.25">
      <c r="A20" s="1"/>
      <c r="B20" s="43"/>
      <c r="C20" s="44"/>
      <c r="D20" s="44"/>
      <c r="E20" s="44"/>
      <c r="F20" s="44"/>
      <c r="G20" s="4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75" t="s">
        <v>114</v>
      </c>
      <c r="C22" s="76"/>
      <c r="D22" s="76"/>
      <c r="E22" s="76"/>
      <c r="F22" s="76"/>
      <c r="G22" s="76"/>
      <c r="H22" s="77"/>
      <c r="I22" s="1"/>
    </row>
    <row r="23" spans="1:9" x14ac:dyDescent="0.25">
      <c r="A23" s="1"/>
      <c r="B23" s="102" t="s">
        <v>115</v>
      </c>
      <c r="C23" s="103"/>
      <c r="D23" s="103"/>
      <c r="E23" s="103"/>
      <c r="F23" s="104"/>
      <c r="G23" s="26">
        <f>G17*(1-'Fane 15. Nøgletal'!C18)*(1+'Fane 15. Nøgletal'!C10)+G18*(1-'Fane 15. Nøgletal'!C19)*(1+'Fane 15. Nøgletal'!C11)</f>
        <v>91345288.434028447</v>
      </c>
      <c r="H23" s="14" t="s">
        <v>3</v>
      </c>
      <c r="I23" s="1"/>
    </row>
    <row r="24" spans="1:9" x14ac:dyDescent="0.25">
      <c r="A24" s="1"/>
      <c r="B24" s="105" t="s">
        <v>245</v>
      </c>
      <c r="C24" s="106"/>
      <c r="D24" s="106"/>
      <c r="E24" s="106"/>
      <c r="F24" s="107"/>
      <c r="G24" s="26">
        <f>G18*(1-'Fane 15. Nøgletal'!C19)*(1+'Fane 15. Nøgletal'!C11)</f>
        <v>1206902.7256638436</v>
      </c>
      <c r="H24" s="14" t="s">
        <v>3</v>
      </c>
      <c r="I24" s="1"/>
    </row>
    <row r="25" spans="1:9" x14ac:dyDescent="0.25">
      <c r="A25" s="1"/>
      <c r="B25" s="108" t="s">
        <v>116</v>
      </c>
      <c r="C25" s="106"/>
      <c r="D25" s="106"/>
      <c r="E25" s="106"/>
      <c r="F25" s="107"/>
      <c r="G25" s="26">
        <f>('Fane 2.1. Økonomisk ramme 2020'!C13+'Fane 2.1. Økonomisk ramme 2020'!C15+'Fane 2.1. Økonomisk ramme 2020'!C17)*(1+'Fane 15. Nøgletal'!C12)</f>
        <v>331905.895407537</v>
      </c>
      <c r="H25" s="14" t="s">
        <v>3</v>
      </c>
      <c r="I25" s="1"/>
    </row>
    <row r="26" spans="1:9" x14ac:dyDescent="0.25">
      <c r="A26" s="1"/>
      <c r="B26" s="102" t="s">
        <v>117</v>
      </c>
      <c r="C26" s="103"/>
      <c r="D26" s="103"/>
      <c r="E26" s="103"/>
      <c r="F26" s="104"/>
      <c r="G26" s="26">
        <f>(G23-G24)*'Fane 15. Nøgletal'!C18+G24*'Fane 15. Nøgletal'!C19+G25*'Fane 15. Nøgletal'!C20</f>
        <v>1615375.6081809029</v>
      </c>
      <c r="H26" s="14" t="s">
        <v>3</v>
      </c>
      <c r="I26" s="1"/>
    </row>
    <row r="27" spans="1:9" x14ac:dyDescent="0.25">
      <c r="A27" s="1"/>
      <c r="B27" s="43"/>
      <c r="C27" s="44"/>
      <c r="D27" s="44"/>
      <c r="E27" s="44"/>
      <c r="F27" s="44"/>
      <c r="G27" s="44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75" t="s">
        <v>118</v>
      </c>
      <c r="C29" s="76"/>
      <c r="D29" s="76"/>
      <c r="E29" s="76"/>
      <c r="F29" s="76"/>
      <c r="G29" s="76"/>
      <c r="H29" s="77"/>
      <c r="I29" s="1"/>
    </row>
    <row r="30" spans="1:9" x14ac:dyDescent="0.25">
      <c r="A30" s="1"/>
      <c r="B30" s="102" t="s">
        <v>119</v>
      </c>
      <c r="C30" s="103"/>
      <c r="D30" s="103"/>
      <c r="E30" s="103"/>
      <c r="F30" s="104"/>
      <c r="G30" s="26">
        <f>(G23-G24)*(1-'Fane 15. Nøgletal'!C18)*(1+'Fane 15. Nøgletal'!C10)+G24*(1-'Fane 15. Nøgletal'!C19)*(1+'Fane 15. Nøgletal'!C11)+G25*(1-'Fane 15. Nøgletal'!C20)*(1+'Fane 15. Nøgletal'!C12)</f>
        <v>91637892.162763432</v>
      </c>
      <c r="H30" s="14" t="s">
        <v>3</v>
      </c>
      <c r="I30" s="1"/>
    </row>
    <row r="31" spans="1:9" x14ac:dyDescent="0.25">
      <c r="A31" s="1"/>
      <c r="B31" s="105" t="s">
        <v>246</v>
      </c>
      <c r="C31" s="106"/>
      <c r="D31" s="106"/>
      <c r="E31" s="106"/>
      <c r="F31" s="107"/>
      <c r="G31" s="26">
        <f>G24*(1-'Fane 15. Nøgletal'!C19)*(1+'Fane 15. Nøgletal'!C11)</f>
        <v>1216621.8771065325</v>
      </c>
      <c r="H31" s="14" t="s">
        <v>3</v>
      </c>
      <c r="I31" s="1"/>
    </row>
    <row r="32" spans="1:9" x14ac:dyDescent="0.25">
      <c r="A32" s="1"/>
      <c r="B32" s="105" t="s">
        <v>247</v>
      </c>
      <c r="C32" s="106"/>
      <c r="D32" s="106"/>
      <c r="E32" s="106"/>
      <c r="F32" s="107"/>
      <c r="G32" s="26">
        <f>G25*(1-'Fane 15. Nøgletal'!C20)*(1+'Fane 15. Nøgletal'!C12)</f>
        <v>328832.61940712883</v>
      </c>
      <c r="H32" s="14" t="s">
        <v>3</v>
      </c>
      <c r="I32" s="1"/>
    </row>
    <row r="33" spans="1:9" x14ac:dyDescent="0.25">
      <c r="A33" s="1"/>
      <c r="B33" s="102" t="s">
        <v>153</v>
      </c>
      <c r="C33" s="103"/>
      <c r="D33" s="103"/>
      <c r="E33" s="103"/>
      <c r="F33" s="104"/>
      <c r="G33" s="26">
        <f>-'Fane 13. Bortfald'!E18*(1+'Fane 15. Nøgletal'!C12)</f>
        <v>0</v>
      </c>
      <c r="H33" s="14" t="s">
        <v>3</v>
      </c>
      <c r="I33" s="1"/>
    </row>
    <row r="34" spans="1:9" x14ac:dyDescent="0.25">
      <c r="A34" s="1"/>
      <c r="B34" s="102" t="s">
        <v>120</v>
      </c>
      <c r="C34" s="103"/>
      <c r="D34" s="103"/>
      <c r="E34" s="103"/>
      <c r="F34" s="104"/>
      <c r="G34" s="26">
        <f>(G30-SUM(G31:G32))*'Fane 15. Nøgletal'!C18+G31*'Fane 15. Nøgletal'!C19+(G32+G33)*'Fane 15. Nøgletal'!C20</f>
        <v>1614559.60341461</v>
      </c>
      <c r="H34" s="14" t="s">
        <v>3</v>
      </c>
      <c r="I34" s="1"/>
    </row>
    <row r="35" spans="1:9" x14ac:dyDescent="0.25">
      <c r="A35" s="1"/>
      <c r="B35" s="43"/>
      <c r="C35" s="44"/>
      <c r="D35" s="44"/>
      <c r="E35" s="44"/>
      <c r="F35" s="44"/>
      <c r="G35" s="4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75" t="s">
        <v>129</v>
      </c>
      <c r="C37" s="76"/>
      <c r="D37" s="76"/>
      <c r="E37" s="76"/>
      <c r="F37" s="76"/>
      <c r="G37" s="76"/>
      <c r="H37" s="77"/>
      <c r="I37" s="1"/>
    </row>
    <row r="38" spans="1:9" x14ac:dyDescent="0.25">
      <c r="A38" s="1"/>
      <c r="B38" s="102" t="s">
        <v>124</v>
      </c>
      <c r="C38" s="103"/>
      <c r="D38" s="103"/>
      <c r="E38" s="103"/>
      <c r="F38" s="104"/>
      <c r="G38" s="26">
        <f>(SUM(G30,G33)-G34)*(1+'Fane 15. Nøgletal'!C12)</f>
        <v>91796792.210767999</v>
      </c>
      <c r="H38" s="14" t="s">
        <v>3</v>
      </c>
      <c r="I38" s="1"/>
    </row>
    <row r="39" spans="1:9" x14ac:dyDescent="0.25">
      <c r="A39" s="1"/>
      <c r="B39" s="102" t="s">
        <v>154</v>
      </c>
      <c r="C39" s="103"/>
      <c r="D39" s="103"/>
      <c r="E39" s="103"/>
      <c r="F39" s="104"/>
      <c r="G39" s="26">
        <f>-'Fane 13. Bortfald'!E24*(1+'Fane 15. Nøgletal'!C12)</f>
        <v>0</v>
      </c>
      <c r="H39" s="14" t="s">
        <v>3</v>
      </c>
      <c r="I39" s="1"/>
    </row>
    <row r="40" spans="1:9" x14ac:dyDescent="0.25">
      <c r="A40" s="1"/>
      <c r="B40" s="102" t="s">
        <v>121</v>
      </c>
      <c r="C40" s="103"/>
      <c r="D40" s="103"/>
      <c r="E40" s="103"/>
      <c r="F40" s="104"/>
      <c r="G40" s="26">
        <f>(G38+G39)*'Fane 15. Nøgletal'!C20</f>
        <v>2607028.8987858114</v>
      </c>
      <c r="H40" s="14" t="s">
        <v>3</v>
      </c>
      <c r="I40" s="1"/>
    </row>
    <row r="41" spans="1:9" x14ac:dyDescent="0.25">
      <c r="A41" s="1"/>
      <c r="B41" s="43"/>
      <c r="C41" s="44"/>
      <c r="D41" s="44"/>
      <c r="E41" s="44"/>
      <c r="F41" s="44"/>
      <c r="G41" s="4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75" t="s">
        <v>130</v>
      </c>
      <c r="C43" s="76"/>
      <c r="D43" s="76"/>
      <c r="E43" s="76"/>
      <c r="F43" s="76"/>
      <c r="G43" s="76"/>
      <c r="H43" s="77"/>
      <c r="I43" s="1"/>
    </row>
    <row r="44" spans="1:9" x14ac:dyDescent="0.25">
      <c r="A44" s="1"/>
      <c r="B44" s="102" t="s">
        <v>123</v>
      </c>
      <c r="C44" s="103"/>
      <c r="D44" s="103"/>
      <c r="E44" s="103"/>
      <c r="F44" s="104"/>
      <c r="G44" s="26">
        <f>(G38+G39-G40)*(1+'Fane 15. Nøgletal'!C12)</f>
        <v>90946801.649228245</v>
      </c>
      <c r="H44" s="14" t="s">
        <v>3</v>
      </c>
      <c r="I44" s="1"/>
    </row>
    <row r="45" spans="1:9" x14ac:dyDescent="0.25">
      <c r="A45" s="1"/>
      <c r="B45" s="102" t="s">
        <v>155</v>
      </c>
      <c r="C45" s="103"/>
      <c r="D45" s="103"/>
      <c r="E45" s="103"/>
      <c r="F45" s="104"/>
      <c r="G45" s="26">
        <f>-'Fane 13. Bortfald'!E30*(1+'Fane 15. Nøgletal'!C12)</f>
        <v>0</v>
      </c>
      <c r="H45" s="14" t="s">
        <v>3</v>
      </c>
      <c r="I45" s="1"/>
    </row>
    <row r="46" spans="1:9" x14ac:dyDescent="0.25">
      <c r="A46" s="1"/>
      <c r="B46" s="102" t="s">
        <v>122</v>
      </c>
      <c r="C46" s="103"/>
      <c r="D46" s="103"/>
      <c r="E46" s="103"/>
      <c r="F46" s="104"/>
      <c r="G46" s="26">
        <f>(G44+G45)*'Fane 15. Nøgletal'!C20</f>
        <v>2582889.1668380825</v>
      </c>
      <c r="H46" s="14" t="s">
        <v>3</v>
      </c>
      <c r="I46" s="1"/>
    </row>
    <row r="47" spans="1:9" x14ac:dyDescent="0.25">
      <c r="A47" s="1"/>
      <c r="B47" s="43"/>
      <c r="C47" s="44"/>
      <c r="D47" s="44"/>
      <c r="E47" s="44"/>
      <c r="F47" s="44"/>
      <c r="G47" s="4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2Rm6qYa3uH7kORIoLqDU7mngAstZryrXXL46zi/yMenQnm+KVL9iyGwx9bMgJgf1rX8KL8RmheB5wEWzP5/FxQ==" saltValue="ztyZMOE5y3CozVBtziNLZg==" spinCount="100000" sheet="1" objects="1" scenarios="1"/>
  <mergeCells count="32">
    <mergeCell ref="B11:F11"/>
    <mergeCell ref="B2:H2"/>
    <mergeCell ref="B38:F38"/>
    <mergeCell ref="B46:F46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3:F33"/>
    <mergeCell ref="B22:H22"/>
    <mergeCell ref="B45:F45"/>
    <mergeCell ref="B23:F23"/>
    <mergeCell ref="B25:F25"/>
    <mergeCell ref="B26:F26"/>
    <mergeCell ref="B40:F40"/>
    <mergeCell ref="B43:H43"/>
    <mergeCell ref="B44:F44"/>
    <mergeCell ref="B29:H29"/>
    <mergeCell ref="B30:F30"/>
    <mergeCell ref="B34:F34"/>
    <mergeCell ref="B37:H37"/>
    <mergeCell ref="B39:F39"/>
    <mergeCell ref="B24:F24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146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102" t="s">
        <v>131</v>
      </c>
      <c r="C9" s="103"/>
      <c r="D9" s="103"/>
      <c r="E9" s="103"/>
      <c r="F9" s="104"/>
      <c r="G9" s="25">
        <v>4.1688914107989401E-3</v>
      </c>
      <c r="H9" s="14"/>
      <c r="I9" s="1"/>
    </row>
    <row r="10" spans="1:9" x14ac:dyDescent="0.25">
      <c r="A10" s="1"/>
      <c r="B10" s="102" t="s">
        <v>202</v>
      </c>
      <c r="C10" s="103"/>
      <c r="D10" s="103"/>
      <c r="E10" s="103"/>
      <c r="F10" s="104"/>
      <c r="G10" s="25">
        <v>0</v>
      </c>
      <c r="H10" s="14"/>
      <c r="I10" s="1"/>
    </row>
    <row r="11" spans="1:9" x14ac:dyDescent="0.25">
      <c r="A11" s="1"/>
      <c r="B11" s="43"/>
      <c r="C11" s="44"/>
      <c r="D11" s="44"/>
      <c r="E11" s="44"/>
      <c r="F11" s="44"/>
      <c r="G11" s="44"/>
      <c r="H11" s="22"/>
      <c r="I11" s="1"/>
    </row>
    <row r="12" spans="1:9" ht="40.5" customHeight="1" x14ac:dyDescent="0.25">
      <c r="A12" s="1"/>
      <c r="B12" s="78" t="s">
        <v>212</v>
      </c>
      <c r="C12" s="79"/>
      <c r="D12" s="79"/>
      <c r="E12" s="79"/>
      <c r="F12" s="79"/>
      <c r="G12" s="79"/>
      <c r="H12" s="80"/>
      <c r="I12" s="1"/>
    </row>
    <row r="13" spans="1:9" ht="30.75" customHeight="1" x14ac:dyDescent="0.25">
      <c r="A13" s="20"/>
      <c r="B13" s="110"/>
      <c r="C13" s="110"/>
      <c r="D13" s="110"/>
      <c r="E13" s="110"/>
      <c r="F13" s="110"/>
      <c r="G13" s="110"/>
      <c r="H13" s="110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te/Hm0UfbIDxP7RTqw82VRe69crbkxx8r3b84RhLbFaeWbstsBQu0i5WfxCTddh/qtUSANGR2y3piof0i1TraA==" saltValue="hffwmrK8+8O5N3r4n+tY7g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2019-08-29T18:36:16Z</dcterms:modified>
</cp:coreProperties>
</file>