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Fjerritslev Vand Amba (V051)\ØR2020\"/>
    </mc:Choice>
  </mc:AlternateContent>
  <bookViews>
    <workbookView xWindow="3105" yWindow="990" windowWidth="12735" windowHeight="4620" tabRatio="872" activeTab="1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4" i="19"/>
  <c r="C15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<sst xmlns="http://schemas.openxmlformats.org/spreadsheetml/2006/main" count="424" uniqueCount="164">
  <si>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</si>
  <si>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</si>
  <si>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</si>
  <si>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</si>
  <si>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</si>
  <si>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</si>
  <si>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</si>
  <si>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</si>
  <si>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</si>
  <si>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</si>
  <si>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</si>
  <si>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</si>
  <si>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</si>
  <si>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</si>
  <si>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</si>
  <si>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</si>
  <si>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</si>
  <si>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</si>
  <si>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</si>
  <si>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</si>
  <si>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</si>
  <si>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</si>
  <si>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</si>
  <si>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</si>
  <si>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</si>
  <si>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</si>
  <si>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</si>
  <si>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</si>
  <si>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</si>
  <si>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</si>
  <si>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</si>
  <si>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</si>
  <si>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</si>
  <si>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</si>
  <si>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</si>
  <si>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</si>
  <si>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</si>
  <si>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</si>
  <si>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</si>
  <si>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</si>
  <si>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</si>
  <si>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</si>
  <si>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</si>
  <si>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</si>
  <si>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</si>
  <si>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</si>
  <si>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</si>
  <si>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</si>
  <si>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</si>
  <si>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</si>
  <si>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</si>
  <si>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</si>
  <si>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</si>
  <si>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</si>
  <si>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</si>
  <si>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</si>
  <si>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</si>
  <si>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</si>
  <si>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</si>
  <si>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</si>
  <si>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</si>
  <si>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</si>
  <si>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</si>
  <si>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</si>
  <si>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</si>
  <si>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</si>
  <si>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</si>
  <si>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</si>
  <si>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</si>
  <si>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</si>
  <si>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</si>
  <si>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</si>
  <si>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</si>
  <si>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</si>
  <si>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</si>
  <si>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</si>
  <si>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</si>
  <si>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</si>
  <si>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</si>
  <si>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</si>
  <si>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</si>
  <si>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</si>
  <si>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</si>
  <si>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</si>
  <si>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</si>
  <si>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</si>
  <si>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</si>
  <si>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</si>
  <si>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</si>
  <si>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</si>
  <si>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</si>
  <si>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</si>
  <si>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</si>
  <si>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</si>
  <si>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</si>
  <si>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</si>
  <si>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</si>
  <si>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</si>
  <si>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</si>
  <si>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</si>
  <si>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</si>
  <si>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</si>
  <si>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</si>
  <si>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</si>
  <si>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</si>
  <si>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</si>
  <si>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</si>
  <si>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</si>
  <si>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</si>
  <si>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</si>
  <si>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</si>
  <si>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</si>
  <si>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</si>
  <si>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</si>
  <si>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</si>
  <si>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</si>
  <si>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</si>
  <si>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</si>
  <si>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</si>
  <si>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</si>
  <si>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</si>
  <si>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</si>
  <si>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</si>
  <si>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</si>
  <si>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</si>
  <si>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</si>
  <si>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</si>
  <si>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</si>
  <si>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</si>
  <si>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</si>
  <si>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</si>
  <si>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</si>
  <si>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</si>
  <si>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</si>
  <si>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</si>
  <si>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</si>
  <si>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</si>
  <si>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</si>
  <si>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</si>
  <si>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</si>
  <si>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</si>
  <si>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</si>
  <si>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</si>
  <si>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</si>
  <si>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</si>
  <si>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</si>
  <si>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</si>
  <si>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</si>
  <si>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</si>
  <si>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</si>
  <si>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</si>
  <si>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</si>
  <si>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</si>
  <si>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</si>
  <si>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</si>
  <si>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</si>
  <si>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</si>
  <si>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</si>
  <si>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</si>
  <si>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Afgift til Forsyningssekretariatet</t>
  </si>
  <si>
    <t>Ejendomsskat</t>
  </si>
  <si>
    <t>Selskabsskatter</t>
  </si>
  <si>
    <t>Ingen engangstillæg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</si>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</sst>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2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25">
      <c r="A8" s="1"/>
      <c r="B8" s="1"/>
      <c r="C8" s="4"/>
      <c r="D8" s="56" t="s">
        <v>116</v>
      </c>
      <c r="E8" s="56"/>
      <c r="F8" s="56"/>
      <c r="G8" s="5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8" t="s">
        <v>49</v>
      </c>
      <c r="E13" s="49"/>
      <c r="F13" s="49"/>
      <c r="G13" s="50"/>
      <c r="H13" s="1"/>
      <c r="I13" s="1"/>
    </row>
    <row r="14" spans="1:9" x14ac:dyDescent="0.25">
      <c r="A14" s="1"/>
      <c r="B14" s="1"/>
      <c r="C14" s="6" t="s">
        <v>22</v>
      </c>
      <c r="D14" s="48" t="s">
        <v>117</v>
      </c>
      <c r="E14" s="49"/>
      <c r="F14" s="49"/>
      <c r="G14" s="50"/>
      <c r="H14" s="1"/>
      <c r="I14" s="1"/>
    </row>
    <row r="15" spans="1:9" x14ac:dyDescent="0.25">
      <c r="A15" s="1"/>
      <c r="B15" s="1"/>
      <c r="C15" s="6" t="s">
        <v>48</v>
      </c>
      <c r="D15" s="48" t="s">
        <v>75</v>
      </c>
      <c r="E15" s="49"/>
      <c r="F15" s="49"/>
      <c r="G15" s="50"/>
      <c r="H15" s="1"/>
      <c r="I15" s="1"/>
    </row>
    <row r="16" spans="1:9" x14ac:dyDescent="0.25">
      <c r="A16" s="1"/>
      <c r="B16" s="1"/>
      <c r="C16" s="6" t="s">
        <v>50</v>
      </c>
      <c r="D16" s="48" t="s">
        <v>76</v>
      </c>
      <c r="E16" s="49"/>
      <c r="F16" s="49"/>
      <c r="G16" s="50"/>
      <c r="H16" s="1"/>
      <c r="I16" s="1"/>
    </row>
    <row r="17" spans="1:9" x14ac:dyDescent="0.25">
      <c r="A17" s="1"/>
      <c r="B17" s="1"/>
      <c r="C17" s="6" t="s">
        <v>139</v>
      </c>
      <c r="D17" s="48" t="s">
        <v>57</v>
      </c>
      <c r="E17" s="49"/>
      <c r="F17" s="49"/>
      <c r="G17" s="50"/>
      <c r="H17" s="1"/>
      <c r="I17" s="1"/>
    </row>
    <row r="18" spans="1:9" x14ac:dyDescent="0.25">
      <c r="A18" s="1"/>
      <c r="B18" s="1"/>
      <c r="C18" s="6" t="s">
        <v>7</v>
      </c>
      <c r="D18" s="60" t="s">
        <v>16</v>
      </c>
      <c r="E18" s="61"/>
      <c r="F18" s="61"/>
      <c r="G18" s="62"/>
      <c r="H18" s="1"/>
      <c r="I18" s="1"/>
    </row>
    <row r="19" spans="1:9" x14ac:dyDescent="0.25">
      <c r="A19" s="1"/>
      <c r="B19" s="1"/>
      <c r="C19" s="6" t="s">
        <v>8</v>
      </c>
      <c r="D19" s="52" t="s">
        <v>97</v>
      </c>
      <c r="E19" s="53"/>
      <c r="F19" s="53"/>
      <c r="G19" s="54"/>
      <c r="H19" s="1"/>
      <c r="I19" s="1"/>
    </row>
    <row r="20" spans="1:9" x14ac:dyDescent="0.25">
      <c r="A20" s="1"/>
      <c r="B20" s="1"/>
      <c r="C20" s="6" t="s">
        <v>123</v>
      </c>
      <c r="D20" s="52" t="s">
        <v>147</v>
      </c>
      <c r="E20" s="53"/>
      <c r="F20" s="53"/>
      <c r="G20" s="54"/>
      <c r="H20" s="1"/>
      <c r="I20" s="1"/>
    </row>
    <row r="21" spans="1:9" x14ac:dyDescent="0.25">
      <c r="A21" s="1"/>
      <c r="B21" s="1"/>
      <c r="C21" s="6" t="s">
        <v>82</v>
      </c>
      <c r="D21" s="52" t="s">
        <v>51</v>
      </c>
      <c r="E21" s="53"/>
      <c r="F21" s="53"/>
      <c r="G21" s="54"/>
      <c r="H21" s="1"/>
      <c r="I21" s="1"/>
    </row>
    <row r="22" spans="1:9" x14ac:dyDescent="0.25">
      <c r="A22" s="1"/>
      <c r="B22" s="1"/>
      <c r="C22" s="6" t="s">
        <v>124</v>
      </c>
      <c r="D22" s="52" t="s">
        <v>83</v>
      </c>
      <c r="E22" s="53"/>
      <c r="F22" s="53"/>
      <c r="G22" s="54"/>
      <c r="H22" s="1"/>
      <c r="I22" s="1"/>
    </row>
    <row r="23" spans="1:9" x14ac:dyDescent="0.25">
      <c r="A23" s="1"/>
      <c r="B23" s="1"/>
      <c r="C23" s="6" t="s">
        <v>125</v>
      </c>
      <c r="D23" s="52" t="s">
        <v>84</v>
      </c>
      <c r="E23" s="53"/>
      <c r="F23" s="53"/>
      <c r="G23" s="54"/>
      <c r="H23" s="1"/>
      <c r="I23" s="1"/>
    </row>
    <row r="24" spans="1:9" x14ac:dyDescent="0.25">
      <c r="A24" s="1"/>
      <c r="B24" s="1"/>
      <c r="C24" s="6" t="s">
        <v>9</v>
      </c>
      <c r="D24" s="52" t="s">
        <v>52</v>
      </c>
      <c r="E24" s="53"/>
      <c r="F24" s="53"/>
      <c r="G24" s="54"/>
      <c r="H24" s="1"/>
      <c r="I24" s="1"/>
    </row>
    <row r="25" spans="1:9" x14ac:dyDescent="0.25">
      <c r="A25" s="1"/>
      <c r="B25" s="1"/>
      <c r="C25" s="6" t="s">
        <v>96</v>
      </c>
      <c r="D25" s="52" t="s">
        <v>53</v>
      </c>
      <c r="E25" s="53"/>
      <c r="F25" s="53"/>
      <c r="G25" s="54"/>
      <c r="H25" s="1"/>
      <c r="I25" s="1"/>
    </row>
    <row r="26" spans="1:9" x14ac:dyDescent="0.25">
      <c r="A26" s="1"/>
      <c r="B26" s="1"/>
      <c r="C26" s="6" t="s">
        <v>126</v>
      </c>
      <c r="D26" s="63" t="s">
        <v>10</v>
      </c>
      <c r="E26" s="64"/>
      <c r="F26" s="64"/>
      <c r="G26" s="65"/>
      <c r="H26" s="1"/>
      <c r="I26" s="1"/>
    </row>
    <row r="27" spans="1:9" x14ac:dyDescent="0.25">
      <c r="A27" s="1"/>
      <c r="B27" s="1"/>
      <c r="C27" s="6" t="s">
        <v>21</v>
      </c>
      <c r="D27" s="57" t="s">
        <v>127</v>
      </c>
      <c r="E27" s="58"/>
      <c r="F27" s="58"/>
      <c r="G27" s="5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3L0uv5MEFwkVeEt/EwOnBEycgGAn5PCBdcTIOARpaZ0IafIy6CQ2xKUuAPoOlnGPuU12eAzUJ5Y66Lo3V56c0w==" saltValue="PvRGTKe3HjI8Rafb4orOyg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151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152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4" t="s">
        <v>2</v>
      </c>
      <c r="F9" s="34" t="s">
        <v>15</v>
      </c>
      <c r="G9" s="34" t="s">
        <v>41</v>
      </c>
      <c r="H9" s="43"/>
      <c r="I9" s="1"/>
    </row>
    <row r="10" spans="1:9" x14ac:dyDescent="0.25">
      <c r="A10" s="1"/>
      <c r="B10" s="46" t="s">
        <v>156</v>
      </c>
      <c r="C10" s="47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153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0tv70mg0R+mz64jjOiixAwSXiR5hiBydxJX1gNwznYmGmqv8nT8g6uLSw8hkqV0Sm0rk0aqY7RZUj5mg4Khr6Q==" saltValue="Qg5FPfa0/Xh0Ju+5GJZUf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79</v>
      </c>
      <c r="C8" s="24"/>
      <c r="D8" s="24"/>
      <c r="E8" s="24"/>
      <c r="F8" s="45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157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4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UqgI8hA62ixqPbMe0W3s9/RP6816ApWHcOYrOjgGJ3U+9ykIzUosCFThsflKyFbRQgJlX70NOnZctZbqdcEA1A==" saltValue="dRYml+Px/abtWvSI98Eil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162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4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3"/>
      <c r="G16" s="1"/>
    </row>
    <row r="17" spans="1:7" x14ac:dyDescent="0.25">
      <c r="A17" s="1"/>
      <c r="B17" s="22" t="s">
        <v>162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4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4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3"/>
      <c r="G23" s="1"/>
    </row>
    <row r="24" spans="1:7" x14ac:dyDescent="0.25">
      <c r="A24" s="1"/>
      <c r="B24" s="22" t="s">
        <v>162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4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4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3"/>
      <c r="G30" s="1"/>
    </row>
    <row r="31" spans="1:7" x14ac:dyDescent="0.25">
      <c r="A31" s="1"/>
      <c r="B31" s="22" t="s">
        <v>162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4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4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r/SB8qYhH1CkQEQbyOjgRmyYItHY+ZXdIggp2Cb0y8/x/h3Yzdu1POhzUejdqYutfyddCTv7kB29lVvuEqZxXg==" saltValue="ZMD1brRD/lo0CCf+mE34r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2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xy5JRHuuvWtY5DnuCUIVIsgGbnlapPPdRYizrM7vzS0iMaSCUNuUZsbd8qPda0LtesHAmT9OE0md8hwW1i1TKQ==" saltValue="F4M1DzgmmywtLVp6LUY/p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2" t="s">
        <v>25</v>
      </c>
      <c r="C9" s="42" t="s">
        <v>15</v>
      </c>
      <c r="D9" s="43"/>
      <c r="E9" s="42" t="s">
        <v>42</v>
      </c>
      <c r="F9" s="43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2" t="s">
        <v>25</v>
      </c>
      <c r="C15" s="42" t="s">
        <v>15</v>
      </c>
      <c r="D15" s="43"/>
      <c r="E15" s="42" t="s">
        <v>42</v>
      </c>
      <c r="F15" s="43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4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4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2" t="s">
        <v>25</v>
      </c>
      <c r="C21" s="42" t="s">
        <v>15</v>
      </c>
      <c r="D21" s="43"/>
      <c r="E21" s="42" t="s">
        <v>42</v>
      </c>
      <c r="F21" s="43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4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4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2" t="s">
        <v>25</v>
      </c>
      <c r="C27" s="42" t="s">
        <v>15</v>
      </c>
      <c r="D27" s="43"/>
      <c r="E27" s="42" t="s">
        <v>42</v>
      </c>
      <c r="F27" s="43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4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4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i3HZUhkOIEl5R2MTGTEky44AlB8o6FFJ/2ZBrJf3zxKtpctKFD5GoaRUwzFl5bzF/ouLJDS7NXhneb0uvQGt3g==" saltValue="RZAhjymiIkWxia2TKZrRr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733481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-733482.98571428575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-1.9857142857508734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0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0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1tCMVBuMKMAh9liiowcvEjn6+odCJ+L/Kc13GD3ZhAI57nG4vi68uMetoM1Kz3z8AbxWwStDBRUk6fK7rG9Pkg==" saltValue="LKGJg6fv/R5QwPSp+C4uV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20</v>
      </c>
      <c r="C8" s="45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4"/>
      <c r="C13" s="45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4" t="s">
        <v>115</v>
      </c>
      <c r="C16" s="45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9clLWoo9CPELm7E09yYxR3dGB4hWsE0+ywsJjLof9ZzxjQYVnu4u4tgHexwEA3NsAXB7hfJe8ejsf/AsXDH2CQ==" saltValue="pUzzOTHyLt7mfdb49t239Q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tabSelected="1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x14ac:dyDescent="0.25">
      <c r="A9" s="1"/>
      <c r="B9" s="36" t="s">
        <v>35</v>
      </c>
      <c r="C9" s="36"/>
      <c r="D9" s="36"/>
      <c r="E9" s="7">
        <f>'Fane 3. Omkostninger i ØR2019'!E15</f>
        <v>1982722.1827777787</v>
      </c>
      <c r="F9" s="36" t="s">
        <v>3</v>
      </c>
      <c r="G9" s="1"/>
    </row>
    <row r="10" spans="1:7" x14ac:dyDescent="0.25">
      <c r="A10" s="1"/>
      <c r="B10" s="38" t="s">
        <v>140</v>
      </c>
      <c r="C10" s="36"/>
      <c r="D10" s="36"/>
      <c r="E10" s="7">
        <f>'Fane 3. Omkostninger i ØR2019'!E10*(1-'Fane 12. Nøgletal'!C17)*(1+'Fane 12. Nøgletal'!C10)</f>
        <v>0</v>
      </c>
      <c r="F10" s="36" t="s">
        <v>3</v>
      </c>
      <c r="G10" s="1"/>
    </row>
    <row r="11" spans="1:7" x14ac:dyDescent="0.25">
      <c r="A11" s="1"/>
      <c r="B11" s="38" t="s">
        <v>143</v>
      </c>
      <c r="C11" s="36"/>
      <c r="D11" s="36"/>
      <c r="E11" s="7">
        <f>('Fane 3. Omkostninger i ØR2019'!E11+'Fane 3. Omkostninger i ØR2019'!E12)*(1-'Fane 12. Nøgletal'!C17)*(1+'Fane 12. Nøgletal'!C11)</f>
        <v>0</v>
      </c>
      <c r="F11" s="36" t="s">
        <v>3</v>
      </c>
      <c r="G11" s="1"/>
    </row>
    <row r="12" spans="1:7" ht="17.100000000000001" customHeight="1" x14ac:dyDescent="0.25">
      <c r="A12" s="1"/>
      <c r="B12" s="31" t="s">
        <v>141</v>
      </c>
      <c r="C12" s="36"/>
      <c r="D12" s="36"/>
      <c r="E12" s="7">
        <f>'Fane 8.1. Varige tillæg'!C12+'Fane 8.1. Varige tillæg'!E12</f>
        <v>0</v>
      </c>
      <c r="F12" s="36" t="s">
        <v>3</v>
      </c>
      <c r="G12" s="1"/>
    </row>
    <row r="13" spans="1:7" ht="17.100000000000001" customHeight="1" x14ac:dyDescent="0.25">
      <c r="A13" s="1"/>
      <c r="B13" s="31" t="s">
        <v>144</v>
      </c>
      <c r="C13" s="36"/>
      <c r="D13" s="36"/>
      <c r="E13" s="8">
        <f>-('Fane 10. Bortfald'!C12+'Fane 10. Bortfald'!E12)</f>
        <v>0</v>
      </c>
      <c r="F13" s="36" t="s">
        <v>3</v>
      </c>
      <c r="G13" s="1"/>
    </row>
    <row r="14" spans="1:7" ht="17.100000000000001" customHeight="1" x14ac:dyDescent="0.25">
      <c r="A14" s="1"/>
      <c r="B14" s="31" t="s">
        <v>111</v>
      </c>
      <c r="C14" s="36"/>
      <c r="D14" s="36"/>
      <c r="E14" s="8">
        <f>'Fane 9. Tilknyttet aktivitet'!C12+'Fane 9. Tilknyttet aktivitet'!E12</f>
        <v>0</v>
      </c>
      <c r="F14" s="36" t="s">
        <v>3</v>
      </c>
      <c r="G14" s="1"/>
    </row>
    <row r="15" spans="1:7" ht="17.100000000000001" customHeight="1" x14ac:dyDescent="0.25">
      <c r="A15" s="1"/>
      <c r="B15" s="31" t="s">
        <v>26</v>
      </c>
      <c r="C15" s="36"/>
      <c r="D15" s="36"/>
      <c r="E15" s="8">
        <f>(E9-SUM(E10:E11))*'Fane 12. Nøgletal'!C9+E10*'Fane 12. Nøgletal'!C10+E11*'Fane 12. Nøgletal'!C11+SUM(E12:E14)*'Fane 12. Nøgletal'!C12</f>
        <v>25180.571721277789</v>
      </c>
      <c r="F15" s="36" t="s">
        <v>3</v>
      </c>
      <c r="G15" s="1"/>
    </row>
    <row r="16" spans="1:7" ht="17.100000000000001" customHeight="1" x14ac:dyDescent="0.25">
      <c r="A16" s="1"/>
      <c r="B16" s="31" t="s">
        <v>115</v>
      </c>
      <c r="C16" s="36"/>
      <c r="D16" s="36"/>
      <c r="E16" s="8">
        <f>-SUM(E9,E12:E15)*'Fane 12. Nøgletal'!C17</f>
        <v>-34134.346826483961</v>
      </c>
      <c r="F16" s="36" t="s">
        <v>3</v>
      </c>
      <c r="G16" s="1"/>
    </row>
    <row r="17" spans="1:7" ht="17.100000000000001" customHeight="1" x14ac:dyDescent="0.25">
      <c r="A17" s="1"/>
      <c r="B17" s="41" t="s">
        <v>28</v>
      </c>
      <c r="C17" s="39"/>
      <c r="D17" s="39"/>
      <c r="E17" s="9">
        <f>SUM(E9,E12:E16)</f>
        <v>1973768.4076725726</v>
      </c>
      <c r="F17" s="34" t="s">
        <v>3</v>
      </c>
      <c r="G17" s="1"/>
    </row>
    <row r="18" spans="1:7" ht="15" customHeight="1" x14ac:dyDescent="0.25">
      <c r="A18" s="1"/>
      <c r="B18" s="40" t="s">
        <v>16</v>
      </c>
      <c r="C18" s="40"/>
      <c r="D18" s="40"/>
      <c r="E18" s="40"/>
      <c r="F18" s="40"/>
      <c r="G18" s="1"/>
    </row>
    <row r="19" spans="1:7" ht="15" customHeight="1" x14ac:dyDescent="0.25">
      <c r="A19" s="1"/>
      <c r="B19" s="34" t="s">
        <v>16</v>
      </c>
      <c r="C19" s="34"/>
      <c r="D19" s="34"/>
      <c r="E19" s="9">
        <f>'Fane 4. Ikke-påvirkelige omk.'!C15</f>
        <v>1454383.83491379</v>
      </c>
      <c r="F19" s="34" t="s">
        <v>3</v>
      </c>
      <c r="G19" s="1"/>
    </row>
    <row r="20" spans="1:7" ht="15" customHeight="1" x14ac:dyDescent="0.25">
      <c r="A20" s="1"/>
      <c r="B20" s="40" t="s">
        <v>84</v>
      </c>
      <c r="C20" s="40"/>
      <c r="D20" s="40"/>
      <c r="E20" s="40"/>
      <c r="F20" s="40"/>
      <c r="G20" s="1"/>
    </row>
    <row r="21" spans="1:7" ht="15" customHeight="1" x14ac:dyDescent="0.25">
      <c r="A21" s="1"/>
      <c r="B21" s="31" t="s">
        <v>80</v>
      </c>
      <c r="C21" s="36"/>
      <c r="D21" s="36"/>
      <c r="E21" s="8">
        <f>'Fane 8.2. Engangstillæg'!C13</f>
        <v>0</v>
      </c>
      <c r="F21" s="36" t="s">
        <v>3</v>
      </c>
      <c r="G21" s="1"/>
    </row>
    <row r="22" spans="1:7" ht="15" customHeight="1" x14ac:dyDescent="0.25">
      <c r="A22" s="1"/>
      <c r="B22" s="31" t="s">
        <v>81</v>
      </c>
      <c r="C22" s="36"/>
      <c r="D22" s="36"/>
      <c r="E22" s="8">
        <f>'Fane 8.2. Engangstillæg'!E13</f>
        <v>0</v>
      </c>
      <c r="F22" s="36" t="s">
        <v>3</v>
      </c>
      <c r="G22" s="1"/>
    </row>
    <row r="23" spans="1:7" x14ac:dyDescent="0.25">
      <c r="A23" s="1"/>
      <c r="B23" s="41" t="s">
        <v>85</v>
      </c>
      <c r="C23" s="39"/>
      <c r="D23" s="39"/>
      <c r="E23" s="9">
        <f>SUM(E21:E22)</f>
        <v>0</v>
      </c>
      <c r="F23" s="34" t="s">
        <v>3</v>
      </c>
      <c r="G23" s="1"/>
    </row>
    <row r="24" spans="1:7" x14ac:dyDescent="0.25">
      <c r="A24" s="1"/>
      <c r="B24" s="40" t="s">
        <v>10</v>
      </c>
      <c r="C24" s="40"/>
      <c r="D24" s="40"/>
      <c r="E24" s="40"/>
      <c r="F24" s="40"/>
      <c r="G24" s="1"/>
    </row>
    <row r="25" spans="1:7" ht="15" customHeight="1" x14ac:dyDescent="0.25">
      <c r="A25" s="1"/>
      <c r="B25" s="34" t="s">
        <v>18</v>
      </c>
      <c r="C25" s="34"/>
      <c r="D25" s="34"/>
      <c r="E25" s="9">
        <f>'Fane 11. Hist. over-underdæk.'!G14</f>
        <v>0</v>
      </c>
      <c r="F25" s="34" t="s">
        <v>3</v>
      </c>
      <c r="G25" s="1"/>
    </row>
    <row r="26" spans="1:7" ht="15" customHeight="1" x14ac:dyDescent="0.25">
      <c r="A26" s="1"/>
      <c r="B26" s="40" t="s">
        <v>147</v>
      </c>
      <c r="C26" s="40"/>
      <c r="D26" s="40"/>
      <c r="E26" s="40"/>
      <c r="F26" s="40"/>
      <c r="G26" s="1"/>
    </row>
    <row r="27" spans="1:7" x14ac:dyDescent="0.25">
      <c r="A27" s="1"/>
      <c r="B27" s="34" t="s">
        <v>148</v>
      </c>
      <c r="C27" s="34"/>
      <c r="D27" s="34"/>
      <c r="E27" s="9">
        <f>'Fane 6. Korrektioner'!E10</f>
        <v>0</v>
      </c>
      <c r="F27" s="34" t="s">
        <v>3</v>
      </c>
      <c r="G27" s="1"/>
    </row>
    <row r="28" spans="1:7" x14ac:dyDescent="0.25">
      <c r="A28" s="1"/>
      <c r="B28" s="40" t="s">
        <v>36</v>
      </c>
      <c r="C28" s="40"/>
      <c r="D28" s="40"/>
      <c r="E28" s="10">
        <f>SUM(E17,E19,E23,E25,E27)</f>
        <v>3428152.2425863626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zux88NF/3hQmmonHoYWqv8fob8gHMqi/TVQMZ0KNR/LUx8LilhEgabKJBTaWEj5v3OE+Pz37o5b2IPWOieSYbA==" saltValue="e7P/nkosCLLUZMcNkBeso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ht="15" customHeight="1" x14ac:dyDescent="0.25">
      <c r="A9" s="1"/>
      <c r="B9" s="36" t="s">
        <v>37</v>
      </c>
      <c r="C9" s="36"/>
      <c r="D9" s="36"/>
      <c r="E9" s="7">
        <f>'Fane 2.1. Økonomisk ramme 2020'!E17</f>
        <v>1973768.4076725726</v>
      </c>
      <c r="F9" s="36" t="s">
        <v>3</v>
      </c>
      <c r="G9" s="1"/>
    </row>
    <row r="10" spans="1:7" ht="15" customHeight="1" x14ac:dyDescent="0.25">
      <c r="A10" s="1"/>
      <c r="B10" s="36" t="s">
        <v>163</v>
      </c>
      <c r="C10" s="36"/>
      <c r="D10" s="36"/>
      <c r="E10" s="7">
        <v>56890.522477366314</v>
      </c>
      <c r="F10" s="36" t="s">
        <v>3</v>
      </c>
      <c r="G10" s="1"/>
    </row>
    <row r="11" spans="1:7" ht="15" customHeight="1" x14ac:dyDescent="0.25">
      <c r="A11" s="1"/>
      <c r="B11" s="31" t="s">
        <v>144</v>
      </c>
      <c r="C11" s="36"/>
      <c r="D11" s="36"/>
      <c r="E11" s="7">
        <f>-('Fane 10. Bortfald'!C18+'Fane 10. Bortfald'!E18)</f>
        <v>0</v>
      </c>
      <c r="F11" s="36" t="s">
        <v>3</v>
      </c>
      <c r="G11" s="1"/>
    </row>
    <row r="12" spans="1:7" ht="15" customHeight="1" x14ac:dyDescent="0.25">
      <c r="A12" s="1"/>
      <c r="B12" s="37" t="s">
        <v>26</v>
      </c>
      <c r="C12" s="36"/>
      <c r="D12" s="36"/>
      <c r="E12" s="8">
        <f>SUM(E9:E11)*'Fane 12. Nøgletal'!C12</f>
        <v>40003.980923953794</v>
      </c>
      <c r="F12" s="36" t="s">
        <v>3</v>
      </c>
      <c r="G12" s="1"/>
    </row>
    <row r="13" spans="1:7" ht="15" customHeight="1" x14ac:dyDescent="0.25">
      <c r="A13" s="1"/>
      <c r="B13" s="37" t="s">
        <v>115</v>
      </c>
      <c r="C13" s="36"/>
      <c r="D13" s="36"/>
      <c r="E13" s="8">
        <f>-SUM(E9:E12)*'Fane 12. Nøgletal'!C17</f>
        <v>-35201.269488256177</v>
      </c>
      <c r="F13" s="36" t="s">
        <v>3</v>
      </c>
      <c r="G13" s="1"/>
    </row>
    <row r="14" spans="1:7" ht="15" customHeight="1" x14ac:dyDescent="0.25">
      <c r="A14" s="1"/>
      <c r="B14" s="39" t="s">
        <v>28</v>
      </c>
      <c r="C14" s="39"/>
      <c r="D14" s="39"/>
      <c r="E14" s="9">
        <f>SUM(E9:E13)</f>
        <v>2035461.6415856364</v>
      </c>
      <c r="F14" s="34" t="s">
        <v>3</v>
      </c>
      <c r="G14" s="1"/>
    </row>
    <row r="15" spans="1:7" x14ac:dyDescent="0.25">
      <c r="A15" s="1"/>
      <c r="B15" s="40" t="s">
        <v>16</v>
      </c>
      <c r="C15" s="40"/>
      <c r="D15" s="40"/>
      <c r="E15" s="40"/>
      <c r="F15" s="40"/>
      <c r="G15" s="1"/>
    </row>
    <row r="16" spans="1:7" ht="15" customHeight="1" x14ac:dyDescent="0.25">
      <c r="A16" s="1"/>
      <c r="B16" s="34" t="s">
        <v>16</v>
      </c>
      <c r="C16" s="34"/>
      <c r="D16" s="34"/>
      <c r="E16" s="9">
        <f>'Fane 4. Ikke-påvirkelige omk.'!C15*(1+'Fane 12. Nøgletal'!C12)</f>
        <v>1483035.1964615916</v>
      </c>
      <c r="F16" s="34" t="s">
        <v>3</v>
      </c>
      <c r="G16" s="1"/>
    </row>
    <row r="17" spans="1:7" ht="15" customHeight="1" x14ac:dyDescent="0.25">
      <c r="A17" s="1"/>
      <c r="B17" s="40" t="s">
        <v>84</v>
      </c>
      <c r="C17" s="40"/>
      <c r="D17" s="40"/>
      <c r="E17" s="40"/>
      <c r="F17" s="40"/>
      <c r="G17" s="1"/>
    </row>
    <row r="18" spans="1:7" ht="15" customHeight="1" x14ac:dyDescent="0.25">
      <c r="A18" s="1"/>
      <c r="B18" s="31" t="s">
        <v>80</v>
      </c>
      <c r="C18" s="36"/>
      <c r="D18" s="36"/>
      <c r="E18" s="8">
        <f>'Fane 8.2. Engangstillæg'!C20</f>
        <v>0</v>
      </c>
      <c r="F18" s="36" t="s">
        <v>3</v>
      </c>
      <c r="G18" s="1"/>
    </row>
    <row r="19" spans="1:7" ht="15" customHeight="1" x14ac:dyDescent="0.25">
      <c r="A19" s="1"/>
      <c r="B19" s="31" t="s">
        <v>81</v>
      </c>
      <c r="C19" s="36"/>
      <c r="D19" s="36"/>
      <c r="E19" s="8">
        <f>'Fane 8.2. Engangstillæg'!E20</f>
        <v>0</v>
      </c>
      <c r="F19" s="36" t="s">
        <v>3</v>
      </c>
      <c r="G19" s="1"/>
    </row>
    <row r="20" spans="1:7" ht="15" customHeight="1" x14ac:dyDescent="0.25">
      <c r="A20" s="1"/>
      <c r="B20" s="41" t="s">
        <v>85</v>
      </c>
      <c r="C20" s="39"/>
      <c r="D20" s="39"/>
      <c r="E20" s="9">
        <f>SUM(E18:E19)</f>
        <v>0</v>
      </c>
      <c r="F20" s="34" t="s">
        <v>3</v>
      </c>
      <c r="G20" s="1"/>
    </row>
    <row r="21" spans="1:7" x14ac:dyDescent="0.25">
      <c r="A21" s="1"/>
      <c r="B21" s="40" t="s">
        <v>95</v>
      </c>
      <c r="C21" s="40"/>
      <c r="D21" s="40"/>
      <c r="E21" s="40"/>
      <c r="F21" s="40"/>
      <c r="G21" s="1"/>
    </row>
    <row r="22" spans="1:7" ht="15" customHeight="1" x14ac:dyDescent="0.25">
      <c r="A22" s="1"/>
      <c r="B22" s="34" t="s">
        <v>131</v>
      </c>
      <c r="C22" s="34"/>
      <c r="D22" s="34"/>
      <c r="E22" s="9">
        <f>'Fane 5. Kontrol af ØR2018'!E35</f>
        <v>-176946.92861503293</v>
      </c>
      <c r="F22" s="34" t="s">
        <v>3</v>
      </c>
      <c r="G22" s="1"/>
    </row>
    <row r="23" spans="1:7" x14ac:dyDescent="0.25">
      <c r="A23" s="1"/>
      <c r="B23" s="40" t="s">
        <v>39</v>
      </c>
      <c r="C23" s="40"/>
      <c r="D23" s="40"/>
      <c r="E23" s="10">
        <f>SUM(E14,E16,E20,E22)</f>
        <v>3341549.9094321951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sh3wx1REVNg2qFEnxAfRiCWLo1XFmbQ2OmeKJ2YWC+ktvZ/bhkzPrutGBcEgBjYsVuRw0JIAv51+IsqtEdUrGw==" saltValue="veKHn6pGP+BgZMY7zfxNW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37</v>
      </c>
      <c r="C8" s="36"/>
      <c r="D8" s="36"/>
      <c r="E8" s="7">
        <f>'Fane 2.2. Økonomisk ramme 2021'!E14</f>
        <v>2035461.6415856364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Bortfald'!C24+'Fane 10. Bortfald'!E24)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SUM(E8:E9)*'Fane 12. Nøgletal'!C12</f>
        <v>40098.594339237032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-35284.524010722853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2040275.7119141507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omk.'!C15*(1+'Fane 12. Nøgletal'!C12)^2</f>
        <v>1512250.9898318851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Engangstillæg'!C27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Engangstillæg'!E27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2.2. Økonomisk ramme 2021'!E22</f>
        <v>-176946.92861503293</v>
      </c>
      <c r="F20" s="34" t="s">
        <v>3</v>
      </c>
      <c r="G20" s="1"/>
    </row>
    <row r="21" spans="1:7" x14ac:dyDescent="0.25">
      <c r="A21" s="1"/>
      <c r="B21" s="40" t="s">
        <v>40</v>
      </c>
      <c r="C21" s="40"/>
      <c r="D21" s="40"/>
      <c r="E21" s="10">
        <f>SUM(E12,E14,E18,E20)</f>
        <v>3375579.7731310027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Erutr7wWJa15YSktl4dErU8CQBs9RpRSH91CkESCUPIQOhsUHN9b5G9WGyAuA8H+HOLuIvMmQbmO4uY18rVhXQ==" saltValue="Y4KWgv3x+svNjarxwKbed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38</v>
      </c>
      <c r="C8" s="36"/>
      <c r="D8" s="36"/>
      <c r="E8" s="7">
        <f>'Fane 2.3. Økonomisk ramme 2022'!E12</f>
        <v>2040275.7119141507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Bortfald'!C30+'Fane 10. Bortfald'!E30)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E8*'Fane 12. Nøgletal'!C12</f>
        <v>40193.431524708765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-35367.975438460613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2045101.1680003989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omk.'!C15*(1+'Fane 12. Nøgletal'!C12)^3</f>
        <v>1542042.3343315732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Engangstillæg'!C34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Engangstillæg'!E34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2.3. Økonomisk ramme 2022'!E20</f>
        <v>-176946.92861503293</v>
      </c>
      <c r="F20" s="34" t="s">
        <v>3</v>
      </c>
      <c r="G20" s="1"/>
    </row>
    <row r="21" spans="1:7" x14ac:dyDescent="0.25">
      <c r="A21" s="1"/>
      <c r="B21" s="40" t="s">
        <v>89</v>
      </c>
      <c r="C21" s="40"/>
      <c r="D21" s="40"/>
      <c r="E21" s="10">
        <f>SUM(E12,E14,E18,E20)</f>
        <v>3410196.5737169394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/0KRTBX7f6cOGcfZkFyiygkwWn7407W8K6dbLZ0b6FpcAi+nDenuIOSbFdtBt2BEjRvZCfRIL7dHiTYkYxmKvg==" saltValue="N7puZT2xuPfXXUBBYxKDf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72</v>
      </c>
      <c r="C8" s="40"/>
      <c r="D8" s="40"/>
      <c r="E8" s="40"/>
      <c r="F8" s="40"/>
      <c r="G8" s="1"/>
    </row>
    <row r="9" spans="1:7" x14ac:dyDescent="0.25">
      <c r="A9" s="1"/>
      <c r="B9" s="72" t="s">
        <v>70</v>
      </c>
      <c r="C9" s="72"/>
      <c r="D9" s="72"/>
      <c r="E9" s="7">
        <v>1991716.5756618099</v>
      </c>
      <c r="F9" s="36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6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6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6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25294.800510904985</v>
      </c>
      <c r="F13" s="36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-34289.193394936156</v>
      </c>
      <c r="F14" s="36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1982722.1827777787</v>
      </c>
      <c r="F15" s="34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0"/>
      <c r="F16" s="40"/>
      <c r="G16" s="1"/>
    </row>
    <row r="17" spans="1:7" x14ac:dyDescent="0.25">
      <c r="A17" s="1"/>
      <c r="B17" s="70" t="s">
        <v>16</v>
      </c>
      <c r="C17" s="70"/>
      <c r="D17" s="70"/>
      <c r="E17" s="9">
        <v>1399656.5889328097</v>
      </c>
      <c r="F17" s="34" t="s">
        <v>3</v>
      </c>
      <c r="G17" s="1"/>
    </row>
    <row r="18" spans="1:7" x14ac:dyDescent="0.25">
      <c r="A18" s="1"/>
      <c r="B18" s="40" t="s">
        <v>71</v>
      </c>
      <c r="C18" s="40"/>
      <c r="D18" s="40"/>
      <c r="E18" s="40"/>
      <c r="F18" s="40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6805.4880013651564</v>
      </c>
      <c r="F19" s="34" t="s">
        <v>3</v>
      </c>
      <c r="G19" s="1"/>
    </row>
    <row r="20" spans="1:7" x14ac:dyDescent="0.25">
      <c r="A20" s="1"/>
      <c r="B20" s="40" t="s">
        <v>10</v>
      </c>
      <c r="C20" s="40"/>
      <c r="D20" s="40"/>
      <c r="E20" s="40"/>
      <c r="F20" s="40"/>
      <c r="G20" s="1"/>
    </row>
    <row r="21" spans="1:7" x14ac:dyDescent="0.25">
      <c r="A21" s="1"/>
      <c r="B21" s="70" t="s">
        <v>18</v>
      </c>
      <c r="C21" s="70"/>
      <c r="D21" s="70"/>
      <c r="E21" s="9">
        <v>0</v>
      </c>
      <c r="F21" s="34" t="s">
        <v>3</v>
      </c>
      <c r="G21" s="1"/>
    </row>
    <row r="22" spans="1:7" x14ac:dyDescent="0.25">
      <c r="A22" s="1"/>
      <c r="B22" s="40" t="s">
        <v>23</v>
      </c>
      <c r="C22" s="40"/>
      <c r="D22" s="40"/>
      <c r="E22" s="10">
        <f>SUM(E21,E19,E17,E15)</f>
        <v>3389184.2597119538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M6veL8717tgbDeDFrSbd1l3JJTDMkeh8jnlF8fSe2mYyDwXh3wXh5qhSSAxU8dDgWMGjOmnsU1a4VKOqn6AVFg==" saltValue="YvCjXaiayBIDJ8r2fFkWcA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4" t="s">
        <v>59</v>
      </c>
      <c r="D9" s="34"/>
      <c r="E9" s="1"/>
      <c r="F9" s="1"/>
    </row>
    <row r="10" spans="1:6" x14ac:dyDescent="0.25">
      <c r="A10" s="1"/>
      <c r="B10" s="30" t="s">
        <v>158</v>
      </c>
      <c r="C10" s="8">
        <v>1335802</v>
      </c>
      <c r="D10" s="12" t="s">
        <v>3</v>
      </c>
      <c r="E10" s="1"/>
      <c r="F10" s="1"/>
    </row>
    <row r="11" spans="1:6" x14ac:dyDescent="0.25">
      <c r="A11" s="1"/>
      <c r="B11" s="30" t="s">
        <v>159</v>
      </c>
      <c r="C11" s="8">
        <v>2803</v>
      </c>
      <c r="D11" s="12" t="s">
        <v>3</v>
      </c>
      <c r="E11" s="1"/>
      <c r="F11" s="1"/>
    </row>
    <row r="12" spans="1:6" x14ac:dyDescent="0.25">
      <c r="A12" s="1"/>
      <c r="B12" s="30" t="s">
        <v>160</v>
      </c>
      <c r="C12" s="8">
        <v>30</v>
      </c>
      <c r="D12" s="12" t="s">
        <v>3</v>
      </c>
      <c r="E12" s="1"/>
      <c r="F12" s="1"/>
    </row>
    <row r="13" spans="1:6" x14ac:dyDescent="0.25">
      <c r="A13" s="1"/>
      <c r="B13" s="30" t="s">
        <v>161</v>
      </c>
      <c r="C13" s="8">
        <v>60096</v>
      </c>
      <c r="D13" s="12" t="s">
        <v>3</v>
      </c>
      <c r="E13" s="1"/>
      <c r="F13" s="1"/>
    </row>
    <row r="14" spans="1:6" x14ac:dyDescent="0.25">
      <c r="A14" s="1"/>
      <c r="B14" s="44" t="s">
        <v>60</v>
      </c>
      <c r="C14" s="10">
        <f>SUM(C10:C13)</f>
        <v>1398731</v>
      </c>
      <c r="D14" s="11" t="s">
        <v>3</v>
      </c>
      <c r="E14" s="1"/>
      <c r="F14" s="1"/>
    </row>
    <row r="15" spans="1:6" x14ac:dyDescent="0.25">
      <c r="A15" s="1"/>
      <c r="B15" s="44" t="s">
        <v>61</v>
      </c>
      <c r="C15" s="10">
        <f>C14*(1+'Fane 12. Nøgletal'!C12)^2</f>
        <v>1454383.83491379</v>
      </c>
      <c r="D15" s="11" t="s">
        <v>3</v>
      </c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4"/>
      <c r="C17" s="13"/>
      <c r="D17" s="13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HyLGtH11y/NZBd3o5MMUl+I3+DKpdW3F0nKSdo2se912Je9OK/OG+Kp3le66GMWenHMkJmP60Ryo6QiwRzlYoQ==" saltValue="U05H8eX1nZidnX51WSDhz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5"/>
      <c r="C5" s="35"/>
      <c r="D5" s="35"/>
      <c r="E5" s="35"/>
      <c r="F5" s="35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-82055.48000000001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-42962.885402879212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-125018.36540287922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2473112.7358820178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3177367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-704254.26411798224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3277417.9150607297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3155933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121484.91506072972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-125018.36540287922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-582769.34905725252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149</v>
      </c>
      <c r="C35" s="82"/>
      <c r="D35" s="82"/>
      <c r="E35" s="9">
        <f>SUM(E32:E33)/E34</f>
        <v>-176946.92861503293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5KeQPDmV8Uzy5nZTkswAKQC5FK0Qpe/CYH2ArtAemHENahyDMCwXlC4hDiSFKcYoBEzg/56PGLzXmKC5tMibBg==" saltValue="Ba1tJRxlXw48dQyS3UGX4A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150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4" t="s">
        <v>3</v>
      </c>
      <c r="G9" s="1"/>
    </row>
    <row r="10" spans="1:7" x14ac:dyDescent="0.25">
      <c r="A10" s="1"/>
      <c r="B10" s="40" t="s">
        <v>109</v>
      </c>
      <c r="C10" s="40"/>
      <c r="D10" s="40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1mjtSaXtSd7dR3Wc3vtuvNLHyMqdva/fO/ERKnkN5EYxYKLzEx6g3nSDxazeOYZi+Syxng4K3EDpSzM6T6fpKg==" saltValue="/bzxTZ4HD0tVEgw28PznM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Jan Bæk Pedersen</cp:lastModifiedBy>
  <cp:lastPrinted>2016-06-14T12:57:30Z</cp:lastPrinted>
  <dcterms:created xsi:type="dcterms:W3CDTF">2016-06-02T08:51:18Z</dcterms:created>
  <dcterms:modified xsi:type="dcterms:W3CDTF">2019-08-21T07:06:47Z</dcterms:modified>
</cp:coreProperties>
</file>