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nø Vand AS (S01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2" l="1"/>
  <c r="E10" i="2"/>
  <c r="E13" i="27"/>
  <c r="E18" i="27"/>
  <c r="E19" i="27" l="1"/>
  <c r="E10" i="20" l="1"/>
  <c r="E11" i="20" s="1"/>
  <c r="E25" i="20" l="1"/>
  <c r="E20" i="20"/>
  <c r="E15" i="20"/>
  <c r="E20" i="40" l="1"/>
  <c r="E29" i="2" s="1"/>
  <c r="E21" i="20" l="1"/>
  <c r="E16" i="22" s="1"/>
  <c r="E16" i="20"/>
  <c r="E18" i="15" s="1"/>
  <c r="E21" i="2"/>
  <c r="E26" i="20" l="1"/>
  <c r="E16" i="23" s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1" i="15" s="1"/>
  <c r="C20" i="39"/>
  <c r="E20" i="15" s="1"/>
  <c r="E20" i="23" l="1"/>
  <c r="E13" i="39"/>
  <c r="E24" i="2" s="1"/>
  <c r="E20" i="22"/>
  <c r="C13" i="39"/>
  <c r="E23" i="2" s="1"/>
  <c r="G12" i="10"/>
  <c r="G14" i="10" s="1"/>
  <c r="E22" i="15" l="1"/>
  <c r="E25" i="2"/>
  <c r="E14" i="27" l="1"/>
  <c r="E15" i="27" s="1"/>
  <c r="E9" i="2" s="1"/>
  <c r="E26" i="27" l="1"/>
  <c r="E27" i="32"/>
  <c r="E33" i="32" s="1"/>
  <c r="E35" i="32" s="1"/>
  <c r="E24" i="15" l="1"/>
  <c r="E22" i="22" s="1"/>
  <c r="E22" i="23" l="1"/>
  <c r="F11" i="11"/>
  <c r="C10" i="37" s="1"/>
  <c r="C12" i="37" s="1"/>
  <c r="C13" i="37" s="1"/>
  <c r="G11" i="11"/>
  <c r="E11" i="21" l="1"/>
  <c r="C11" i="21"/>
  <c r="E11" i="29"/>
  <c r="C11" i="29"/>
  <c r="C12" i="19"/>
  <c r="C13" i="19" s="1"/>
  <c r="C12" i="21" l="1"/>
  <c r="E12" i="21"/>
  <c r="C12" i="29"/>
  <c r="E12" i="29"/>
  <c r="E14" i="23"/>
  <c r="E14" i="22"/>
  <c r="E19" i="2"/>
  <c r="E16" i="15"/>
  <c r="E14" i="2" l="1"/>
  <c r="E13" i="2"/>
  <c r="E11" i="11" l="1"/>
  <c r="E10" i="37" s="1"/>
  <c r="E12" i="37" s="1"/>
  <c r="E13" i="37" s="1"/>
  <c r="E12" i="2" s="1"/>
  <c r="E15" i="2" s="1"/>
  <c r="E27" i="2"/>
  <c r="E16" i="2" l="1"/>
  <c r="E17" i="2" s="1"/>
  <c r="E30" i="2" l="1"/>
  <c r="E9" i="15"/>
  <c r="E12" i="15" s="1"/>
  <c r="E13" i="15" s="1"/>
  <c r="E14" i="15" s="1"/>
  <c r="E25" i="15" l="1"/>
  <c r="E8" i="22"/>
  <c r="E10" i="22" s="1"/>
  <c r="E11" i="22" l="1"/>
  <c r="E12" i="22" s="1"/>
  <c r="E23" i="22" s="1"/>
  <c r="E8" i="23" l="1"/>
  <c r="E10" i="23" s="1"/>
  <c r="E11" i="23" l="1"/>
  <c r="E12" i="23" s="1"/>
  <c r="E23" i="23" s="1"/>
</calcChain>
</file>

<file path=xl/sharedStrings.xml><?xml version="1.0" encoding="utf-8"?>
<sst xmlns="http://schemas.openxmlformats.org/spreadsheetml/2006/main" count="507" uniqueCount="193">
  <si>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</si>
  <si>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</si>
  <si>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</si>
  <si>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</si>
  <si>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</si>
  <si>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</si>
  <si>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</si>
  <si>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</si>
  <si>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</si>
  <si>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</si>
  <si>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</si>
  <si>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</si>
  <si>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</si>
  <si>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</si>
  <si>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</si>
  <si>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</si>
  <si>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</si>
  <si>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</si>
  <si>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</si>
  <si>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</si>
  <si>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</si>
  <si>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</si>
  <si>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</si>
  <si>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</si>
  <si>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</si>
  <si>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</si>
  <si>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</si>
  <si>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</si>
  <si>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</si>
  <si>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</si>
  <si>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</si>
  <si>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</si>
  <si>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</si>
  <si>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</si>
  <si>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</si>
  <si>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</si>
  <si>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</si>
  <si>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</si>
  <si>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</si>
  <si>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</si>
  <si>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</si>
  <si>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</si>
  <si>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</si>
  <si>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</si>
  <si>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</si>
  <si>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</si>
  <si>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</si>
  <si>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</si>
  <si>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</si>
  <si>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</si>
  <si>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</si>
  <si>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</si>
  <si>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</si>
  <si>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</si>
  <si>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</si>
  <si>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</si>
  <si>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</si>
  <si>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</si>
  <si>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</si>
  <si>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</si>
  <si>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</si>
  <si>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</si>
  <si>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</si>
  <si>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</si>
  <si>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</si>
  <si>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</si>
  <si>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</si>
  <si>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</si>
  <si>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</si>
  <si>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</si>
  <si>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</si>
  <si>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</si>
  <si>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</si>
  <si>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</si>
  <si>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</si>
  <si>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</si>
  <si>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</si>
  <si>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</si>
  <si>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</si>
  <si>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</si>
  <si>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</si>
  <si>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</si>
  <si>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</si>
  <si>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</si>
  <si>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</si>
  <si>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</si>
  <si>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</si>
  <si>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</si>
  <si>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</si>
  <si>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</si>
  <si>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</si>
  <si>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</si>
  <si>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</si>
  <si>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</si>
  <si>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</si>
  <si>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</si>
  <si>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</si>
  <si>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</si>
  <si>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</si>
  <si>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</si>
  <si>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</si>
  <si>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</si>
  <si>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</si>
  <si>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</si>
  <si>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</si>
  <si>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</si>
  <si>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</si>
  <si>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</si>
  <si>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</si>
  <si>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</si>
  <si>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</si>
  <si>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</si>
  <si>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</si>
  <si>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</si>
  <si>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</si>
  <si>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</si>
  <si>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</si>
  <si>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</si>
  <si>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</si>
  <si>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</si>
  <si>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</si>
  <si>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</si>
  <si>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</si>
  <si>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</si>
  <si>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Tillæg til tilbagebetaling af vejbidrag</t>
  </si>
  <si>
    <t>Fane 4: Ikke-påvirkelige omkostninger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</si>
  <si>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</si>
  <si>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</si>
  <si>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</si>
  <si>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</si>
  <si>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Tidligere tilknyttet aktivitet</t>
  </si>
  <si>
    <t>Samlede tillæg til periodevise driftsomkostninger jf. indmeldte oprensningsplan</t>
  </si>
  <si>
    <t>Faktisk periodevis driftsomkostning i 2018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</si>
  <si>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</si>
  <si>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</si>
  <si>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</si>
  <si>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</si>
  <si>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</si>
  <si>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</si>
  <si>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</si>
  <si>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</si>
  <si>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13: Nøgletal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</si>
  <si>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</si>
  <si>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</si>
  <si>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</si>
  <si>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</si>
  <si>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10: Tilknyttet aktivitet under hovedvirksomheden</t>
  </si>
  <si>
    <t>Fane 11: Bortfald eller nedsættelse af omkostninger til mål, medfinansiering eller udvidelse</t>
  </si>
  <si>
    <t>Fane 12: Historisk over- eller underdækning</t>
  </si>
  <si>
    <t>Fane 6</t>
  </si>
  <si>
    <t>Fane 8.1</t>
  </si>
  <si>
    <t>Fane 8.2</t>
  </si>
  <si>
    <t>Fane 11</t>
  </si>
  <si>
    <t>Nøgletal</t>
  </si>
  <si>
    <t>Tidligere godkendt tillæg indregnet i den økonomiske ramme for 2018</t>
  </si>
  <si>
    <t>Faktisk omkostning til medfinansiering af klimatilpasningsprojekter i 2018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</si>
  <si>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</si>
  <si>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</si>
  <si>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</si>
  <si>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</si>
  <si>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</si>
  <si>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</si>
  <si>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</si>
  <si>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</si>
  <si>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Periodevise driftsomkostninger i den økonomiske ramme for 2019</t>
  </si>
  <si>
    <t>Periodevise driftsomkostninger i alt i 2017-prisniveau</t>
  </si>
  <si>
    <t>Fane 3: Videreførte omkostninger fra den økonomiske ramme for 2019</t>
  </si>
  <si>
    <t>Effektiviseringskrav af periodevise driftsomkostninger</t>
  </si>
  <si>
    <t>Periodevise driftsomkostninger i den økonomiske ramme for 2019 i alt</t>
  </si>
  <si>
    <t xml:space="preserve"> - Heraf nye omkostninger i ØR18</t>
  </si>
  <si>
    <t>Nye tillæg</t>
  </si>
  <si>
    <t>Bortfald eller nedsættelse af omkostninger</t>
  </si>
  <si>
    <t xml:space="preserve"> - Heraf nye omkostninger i ØR19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</si>
  <si>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</si>
  <si>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</si>
  <si>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</si>
  <si>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</si>
  <si>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</si>
  <si>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</si>
  <si>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</si>
  <si>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</si>
  <si>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</si>
  <si>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</si>
  <si>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</si>
  <si>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</si>
  <si>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Nye tilslutninger</t>
  </si>
  <si>
    <t>Ingen engangstillæg</t>
  </si>
  <si>
    <t>Fane 3</t>
  </si>
  <si>
    <t>Ingen anlægsprojekter</t>
  </si>
  <si>
    <t>Anlægsprojekter igangsat senest 1. marts 2016</t>
  </si>
  <si>
    <t>Afgift til Forsyningssekretariatet</t>
  </si>
  <si>
    <t>Køb af ydelser og produkter fra andre vandselskaber reguleret af vandsektorloven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</si>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</sst>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/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138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139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76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77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187</v>
      </c>
      <c r="D17" s="60" t="s">
        <v>58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109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149</v>
      </c>
      <c r="D20" s="48" t="s">
        <v>175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83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150</v>
      </c>
      <c r="D22" s="48" t="s">
        <v>84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151</v>
      </c>
      <c r="D23" s="48" t="s">
        <v>85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86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108</v>
      </c>
      <c r="D25" s="48" t="s">
        <v>52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152</v>
      </c>
      <c r="D26" s="48" t="s">
        <v>53</v>
      </c>
      <c r="E26" s="49"/>
      <c r="F26" s="49"/>
      <c r="G26" s="50"/>
      <c r="H26" s="1"/>
      <c r="I26" s="1"/>
    </row>
    <row r="27" spans="1:9" x14ac:dyDescent="0.25">
      <c r="A27" s="1"/>
      <c r="B27" s="1"/>
      <c r="C27" s="6" t="s">
        <v>21</v>
      </c>
      <c r="D27" s="57" t="s">
        <v>10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54</v>
      </c>
      <c r="D28" s="51" t="s">
        <v>153</v>
      </c>
      <c r="E28" s="52"/>
      <c r="F28" s="52"/>
      <c r="G28" s="5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X/ToxaM9nIZ4KSJ+E/W6w2LU5S9B+lUX0I66Fyg5nzx7Fmymm7/TY+Zku0IyBA6ZR1+Ce4yWUfkt9/PqC/k8Q==" saltValue="eNSiKohvxsT6H/QtN4w6GQ==" spinCount="100000" sheet="1" objects="1" scenarios="1"/>
  <mergeCells count="19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8:G28"/>
    <mergeCell ref="D18:G18"/>
    <mergeCell ref="D21:G21"/>
    <mergeCell ref="D22:G22"/>
    <mergeCell ref="D25:G25"/>
    <mergeCell ref="D23:G23"/>
    <mergeCell ref="D24:G24"/>
    <mergeCell ref="D20:G20"/>
    <mergeCell ref="D27:G2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23:G23" location="'Fane 8.2. Engangstillæg'!A1" display="Engangstillæg"/>
    <hyperlink ref="D24:G24" location="'Fane 9. Periodevise driftsomk.'!A1" display="Periodevise driftsomkostninger"/>
    <hyperlink ref="D27:G27" location="'Fane 12. Hist. over-underdæk.'!A1" display="Historisk over- eller underdækning"/>
    <hyperlink ref="D20" location="'Fane 6. Korrektioner'!A1" display="Korrektion af tidligere rammer"/>
    <hyperlink ref="D17" location="'Fane 3. Omkostninger i ØR2019'!A1" display="Omkostninger i ØR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179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6" t="s">
        <v>180</v>
      </c>
      <c r="C8" s="77"/>
      <c r="D8" s="77"/>
      <c r="E8" s="77"/>
      <c r="F8" s="77"/>
      <c r="G8" s="77"/>
      <c r="H8" s="78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5" t="s">
        <v>2</v>
      </c>
      <c r="F9" s="35" t="s">
        <v>15</v>
      </c>
      <c r="G9" s="35" t="s">
        <v>41</v>
      </c>
      <c r="H9" s="45"/>
      <c r="I9" s="1"/>
    </row>
    <row r="10" spans="1:9" x14ac:dyDescent="0.25">
      <c r="A10" s="1"/>
      <c r="B10" s="43" t="s">
        <v>188</v>
      </c>
      <c r="C10" s="109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6" t="s">
        <v>181</v>
      </c>
      <c r="C11" s="77"/>
      <c r="D11" s="78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1odFIstqgWlQmInfvMX1Un1IJdUPiAuaj+u/VCi+iT1in8y93CQaQ/IXgozKirIVFUY+UijxBLxWFf0BWBXxQ==" saltValue="pHZhfSjegJeVUPwNo+Eto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80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189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110" t="s">
        <v>185</v>
      </c>
      <c r="C11" s="21">
        <v>28908</v>
      </c>
      <c r="D11" s="12" t="s">
        <v>3</v>
      </c>
      <c r="E11" s="8">
        <v>52701</v>
      </c>
      <c r="F11" s="12" t="s">
        <v>3</v>
      </c>
      <c r="G11" s="1"/>
    </row>
    <row r="12" spans="1:7" x14ac:dyDescent="0.25">
      <c r="A12" s="1"/>
      <c r="B12" s="46" t="s">
        <v>55</v>
      </c>
      <c r="C12" s="10">
        <f>SUM(C10:C11)</f>
        <v>28908</v>
      </c>
      <c r="D12" s="11" t="s">
        <v>3</v>
      </c>
      <c r="E12" s="10">
        <f>SUM(E10:E11)</f>
        <v>52701</v>
      </c>
      <c r="F12" s="11" t="s">
        <v>3</v>
      </c>
      <c r="G12" s="1"/>
    </row>
    <row r="13" spans="1:7" x14ac:dyDescent="0.25">
      <c r="A13" s="1"/>
      <c r="B13" s="46" t="s">
        <v>64</v>
      </c>
      <c r="C13" s="10">
        <f>C12*(1+'Fane 13. Nøgletal'!C12)</f>
        <v>29477.4876</v>
      </c>
      <c r="D13" s="11" t="s">
        <v>3</v>
      </c>
      <c r="E13" s="10">
        <f>E12*(1+'Fane 13. Nøgletal'!C12)</f>
        <v>53739.209699999999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FXbHH897dM7KwffulEJ7esfUzt3scPFJuOhfakMq5J7O8j2OXapCP7dGWDnA7qbj7uirduY3x6XRhKrodQP3qA==" saltValue="W9KJvd/s3FZv0SwK15H5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116</v>
      </c>
      <c r="C8" s="77"/>
      <c r="D8" s="77"/>
      <c r="E8" s="77"/>
      <c r="F8" s="78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186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120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137</v>
      </c>
      <c r="C12" s="28">
        <f>-C11*'Fane 13. Nøgletal'!C17</f>
        <v>0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6" t="s">
        <v>121</v>
      </c>
      <c r="C13" s="10">
        <f>SUM(C11:C12)*(1+'Fane 13. Nøgletal'!C12)^2</f>
        <v>0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6" t="s">
        <v>117</v>
      </c>
      <c r="C15" s="77"/>
      <c r="D15" s="77"/>
      <c r="E15" s="77"/>
      <c r="F15" s="78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186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120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137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6" t="s">
        <v>122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6" t="s">
        <v>118</v>
      </c>
      <c r="C22" s="77"/>
      <c r="D22" s="77"/>
      <c r="E22" s="77"/>
      <c r="F22" s="78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186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120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137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6" t="s">
        <v>122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6" t="s">
        <v>119</v>
      </c>
      <c r="C29" s="77"/>
      <c r="D29" s="77"/>
      <c r="E29" s="77"/>
      <c r="F29" s="78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186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120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137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6" t="s">
        <v>122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Y+XZSFS4zaR9OKIEH5X0Al2wxwbT8iLcZN3ny+nfat7PpNRJGFaTybluHKzTkpffziezugKrXsctv8VR6dBrtQ==" saltValue="gqWW4ciI6AHFjGkGyjcWn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163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8"/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94</v>
      </c>
      <c r="C8" s="77"/>
      <c r="D8" s="77"/>
      <c r="E8" s="77"/>
      <c r="F8" s="78"/>
      <c r="G8" s="1"/>
    </row>
    <row r="9" spans="1:7" x14ac:dyDescent="0.25">
      <c r="A9" s="1"/>
      <c r="B9" s="92" t="s">
        <v>165</v>
      </c>
      <c r="C9" s="93"/>
      <c r="D9" s="94"/>
      <c r="E9" s="8">
        <v>0</v>
      </c>
      <c r="F9" s="12" t="s">
        <v>3</v>
      </c>
      <c r="G9" s="1"/>
    </row>
    <row r="10" spans="1:7" x14ac:dyDescent="0.25">
      <c r="A10" s="1"/>
      <c r="B10" s="95" t="s">
        <v>137</v>
      </c>
      <c r="C10" s="96"/>
      <c r="D10" s="97"/>
      <c r="E10" s="8">
        <f>-E9*'Fane 13. Nøgletal'!C17</f>
        <v>0</v>
      </c>
      <c r="F10" s="12" t="s">
        <v>3</v>
      </c>
      <c r="G10" s="1"/>
    </row>
    <row r="11" spans="1:7" x14ac:dyDescent="0.25">
      <c r="A11" s="1"/>
      <c r="B11" s="76" t="s">
        <v>98</v>
      </c>
      <c r="C11" s="77"/>
      <c r="D11" s="78"/>
      <c r="E11" s="10">
        <f>SUM(E9:E10)*(1+'Fane 13. Nøgletal'!C9)^3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6" t="s">
        <v>95</v>
      </c>
      <c r="C13" s="77"/>
      <c r="D13" s="77"/>
      <c r="E13" s="77"/>
      <c r="F13" s="78"/>
      <c r="G13" s="1"/>
    </row>
    <row r="14" spans="1:7" x14ac:dyDescent="0.25">
      <c r="A14" s="1"/>
      <c r="B14" s="92" t="s">
        <v>93</v>
      </c>
      <c r="C14" s="93"/>
      <c r="D14" s="94"/>
      <c r="E14" s="8">
        <v>0</v>
      </c>
      <c r="F14" s="12" t="s">
        <v>3</v>
      </c>
      <c r="G14" s="1"/>
    </row>
    <row r="15" spans="1:7" x14ac:dyDescent="0.25">
      <c r="A15" s="1"/>
      <c r="B15" s="95" t="s">
        <v>137</v>
      </c>
      <c r="C15" s="96"/>
      <c r="D15" s="97"/>
      <c r="E15" s="8">
        <f>-E14*'Fane 13. Nøgletal'!C17</f>
        <v>0</v>
      </c>
      <c r="F15" s="12" t="s">
        <v>3</v>
      </c>
      <c r="G15" s="1"/>
    </row>
    <row r="16" spans="1:7" x14ac:dyDescent="0.25">
      <c r="A16" s="1"/>
      <c r="B16" s="76" t="s">
        <v>99</v>
      </c>
      <c r="C16" s="77"/>
      <c r="D16" s="78"/>
      <c r="E16" s="10">
        <f>SUM(E14:E15)*(1+'Fane 13. Nøgletal'!C12)^3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6" t="s">
        <v>96</v>
      </c>
      <c r="C18" s="77"/>
      <c r="D18" s="77"/>
      <c r="E18" s="77"/>
      <c r="F18" s="78"/>
      <c r="G18" s="1"/>
    </row>
    <row r="19" spans="1:7" x14ac:dyDescent="0.25">
      <c r="A19" s="1"/>
      <c r="B19" s="92" t="s">
        <v>93</v>
      </c>
      <c r="C19" s="93"/>
      <c r="D19" s="94"/>
      <c r="E19" s="8">
        <v>0</v>
      </c>
      <c r="F19" s="12" t="s">
        <v>3</v>
      </c>
      <c r="G19" s="1"/>
    </row>
    <row r="20" spans="1:7" x14ac:dyDescent="0.25">
      <c r="A20" s="1"/>
      <c r="B20" s="95" t="s">
        <v>137</v>
      </c>
      <c r="C20" s="96"/>
      <c r="D20" s="97"/>
      <c r="E20" s="8">
        <f>-E19*'Fane 13. Nøgletal'!C17</f>
        <v>0</v>
      </c>
      <c r="F20" s="12" t="s">
        <v>3</v>
      </c>
      <c r="G20" s="1"/>
    </row>
    <row r="21" spans="1:7" x14ac:dyDescent="0.25">
      <c r="A21" s="1"/>
      <c r="B21" s="76" t="s">
        <v>100</v>
      </c>
      <c r="C21" s="77"/>
      <c r="D21" s="78"/>
      <c r="E21" s="10">
        <f>SUM(E19:E20)*(1+'Fane 13. Nøgletal'!C12)^4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6" t="s">
        <v>97</v>
      </c>
      <c r="C23" s="77"/>
      <c r="D23" s="77"/>
      <c r="E23" s="77"/>
      <c r="F23" s="78"/>
      <c r="G23" s="1"/>
    </row>
    <row r="24" spans="1:7" ht="15" customHeight="1" x14ac:dyDescent="0.25">
      <c r="A24" s="1"/>
      <c r="B24" s="92" t="s">
        <v>93</v>
      </c>
      <c r="C24" s="93"/>
      <c r="D24" s="94"/>
      <c r="E24" s="8">
        <v>0</v>
      </c>
      <c r="F24" s="12" t="s">
        <v>3</v>
      </c>
      <c r="G24" s="1"/>
    </row>
    <row r="25" spans="1:7" x14ac:dyDescent="0.25">
      <c r="A25" s="1"/>
      <c r="B25" s="95" t="s">
        <v>137</v>
      </c>
      <c r="C25" s="96"/>
      <c r="D25" s="97"/>
      <c r="E25" s="8">
        <f>-E24*'Fane 13. Nøgletal'!C17</f>
        <v>0</v>
      </c>
      <c r="F25" s="12" t="s">
        <v>3</v>
      </c>
      <c r="G25" s="1"/>
    </row>
    <row r="26" spans="1:7" x14ac:dyDescent="0.25">
      <c r="A26" s="1"/>
      <c r="B26" s="76" t="s">
        <v>101</v>
      </c>
      <c r="C26" s="77"/>
      <c r="D26" s="78"/>
      <c r="E26" s="10">
        <f>SUM(E24:E25)*(1+'Fane 13. Nøgletal'!C12)^5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GiCl1QVoevnWuGpfX7Rr9JLPNpBj99bmfegnuqjxogc7HjzR1y27KA9wonMlWEvq/yxcKtBuYfLh4qWraWJ2w==" saltValue="llo5JyXtmL7UlZcrhP8pgw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146</v>
      </c>
      <c r="C3" s="68"/>
      <c r="D3" s="68"/>
      <c r="E3" s="68"/>
      <c r="F3" s="68"/>
      <c r="G3" s="1"/>
    </row>
    <row r="4" spans="1:7" ht="25.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32</v>
      </c>
      <c r="C8" s="77"/>
      <c r="D8" s="77"/>
      <c r="E8" s="77"/>
      <c r="F8" s="78"/>
      <c r="G8" s="1"/>
    </row>
    <row r="9" spans="1:7" ht="15" customHeight="1" x14ac:dyDescent="0.25">
      <c r="A9" s="1"/>
      <c r="B9" s="44" t="s">
        <v>33</v>
      </c>
      <c r="C9" s="98" t="s">
        <v>15</v>
      </c>
      <c r="D9" s="99"/>
      <c r="E9" s="98" t="s">
        <v>42</v>
      </c>
      <c r="F9" s="99"/>
      <c r="G9" s="1"/>
    </row>
    <row r="10" spans="1:7" x14ac:dyDescent="0.25">
      <c r="A10" s="1"/>
      <c r="B10" s="22" t="s">
        <v>182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66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0/cKGHBUgANgh+pnIjCEqtmIaSkasO/7xmT8dyfDW9oUnoKkvtbwJFdy2wk7wi+9RKOrsGywwPLp8zH59weOQ==" saltValue="mb4erREAtdFMjt6y4J012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147</v>
      </c>
      <c r="C3" s="68"/>
      <c r="D3" s="68"/>
      <c r="E3" s="68"/>
      <c r="F3" s="68"/>
      <c r="G3" s="1"/>
    </row>
    <row r="4" spans="1:7" ht="25.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6" t="s">
        <v>103</v>
      </c>
      <c r="C8" s="77"/>
      <c r="D8" s="77"/>
      <c r="E8" s="77"/>
      <c r="F8" s="78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6" t="s">
        <v>104</v>
      </c>
      <c r="C14" s="77"/>
      <c r="D14" s="77"/>
      <c r="E14" s="77"/>
      <c r="F14" s="78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183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89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6" t="s">
        <v>102</v>
      </c>
      <c r="C20" s="77"/>
      <c r="D20" s="77"/>
      <c r="E20" s="77"/>
      <c r="F20" s="78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183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90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6" t="s">
        <v>105</v>
      </c>
      <c r="C26" s="77"/>
      <c r="D26" s="77"/>
      <c r="E26" s="77"/>
      <c r="F26" s="78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183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91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80F6LrOo7RfzwWkoOLKkXUHmwztyhQBfg1CLq0HxCLBVVVgdZLpPIppJnUNF0dXL4bPJ1DVSJ8JyrIZ/Xm9ow==" saltValue="ePDzSR8KAVSYA5b/tYiTI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148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6" t="s">
        <v>17</v>
      </c>
      <c r="C8" s="77"/>
      <c r="D8" s="77"/>
      <c r="E8" s="77"/>
      <c r="F8" s="77"/>
      <c r="G8" s="77"/>
      <c r="H8" s="78"/>
      <c r="I8" s="1"/>
    </row>
    <row r="9" spans="1:9" x14ac:dyDescent="0.25">
      <c r="A9" s="1"/>
      <c r="B9" s="100" t="s">
        <v>11</v>
      </c>
      <c r="C9" s="101"/>
      <c r="D9" s="101"/>
      <c r="E9" s="101"/>
      <c r="F9" s="102"/>
      <c r="G9" s="8">
        <v>78295</v>
      </c>
      <c r="H9" s="12" t="s">
        <v>3</v>
      </c>
      <c r="I9" s="1"/>
    </row>
    <row r="10" spans="1:9" x14ac:dyDescent="0.25">
      <c r="A10" s="1"/>
      <c r="B10" s="100" t="s">
        <v>78</v>
      </c>
      <c r="C10" s="101"/>
      <c r="D10" s="101"/>
      <c r="E10" s="101"/>
      <c r="F10" s="102"/>
      <c r="G10" s="8">
        <v>0</v>
      </c>
      <c r="H10" s="12" t="s">
        <v>3</v>
      </c>
      <c r="I10" s="1"/>
    </row>
    <row r="11" spans="1:9" x14ac:dyDescent="0.25">
      <c r="A11" s="1"/>
      <c r="B11" s="100" t="s">
        <v>70</v>
      </c>
      <c r="C11" s="101"/>
      <c r="D11" s="101"/>
      <c r="E11" s="101"/>
      <c r="F11" s="102"/>
      <c r="G11" s="8">
        <v>-78295</v>
      </c>
      <c r="H11" s="12" t="s">
        <v>3</v>
      </c>
      <c r="I11" s="1"/>
    </row>
    <row r="12" spans="1:9" x14ac:dyDescent="0.25">
      <c r="A12" s="1"/>
      <c r="B12" s="103" t="s">
        <v>14</v>
      </c>
      <c r="C12" s="104"/>
      <c r="D12" s="104"/>
      <c r="E12" s="104"/>
      <c r="F12" s="105"/>
      <c r="G12" s="17">
        <f>(G9+G10)+G11</f>
        <v>0</v>
      </c>
      <c r="H12" s="16" t="s">
        <v>3</v>
      </c>
      <c r="I12" s="1"/>
    </row>
    <row r="13" spans="1:9" x14ac:dyDescent="0.25">
      <c r="A13" s="1"/>
      <c r="B13" s="100" t="s">
        <v>12</v>
      </c>
      <c r="C13" s="101"/>
      <c r="D13" s="101"/>
      <c r="E13" s="101"/>
      <c r="F13" s="102"/>
      <c r="G13" s="8">
        <v>0</v>
      </c>
      <c r="H13" s="12" t="s">
        <v>27</v>
      </c>
      <c r="I13" s="1"/>
    </row>
    <row r="14" spans="1:9" x14ac:dyDescent="0.25">
      <c r="A14" s="1"/>
      <c r="B14" s="76" t="s">
        <v>79</v>
      </c>
      <c r="C14" s="77"/>
      <c r="D14" s="77"/>
      <c r="E14" s="77"/>
      <c r="F14" s="78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fAPTODfJgqiuH4fzdtksEjlq74ZuZvDOhiknrausTh8Vl/uDnTJBbvWdD5ExsD0czt889yn6O9YUvWzl6M7Yg==" saltValue="VKXvKe+qEkU29Pd/NhNfo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8" t="s">
        <v>141</v>
      </c>
      <c r="C3" s="68"/>
      <c r="D3" s="1"/>
    </row>
    <row r="4" spans="1:4" ht="25.5" customHeight="1" x14ac:dyDescent="0.25">
      <c r="A4" s="1"/>
      <c r="B4" s="68"/>
      <c r="C4" s="6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161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63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137</v>
      </c>
      <c r="C16" s="47"/>
      <c r="D16" s="1"/>
    </row>
    <row r="17" spans="1:4" x14ac:dyDescent="0.25">
      <c r="A17" s="1"/>
      <c r="B17" s="30" t="s">
        <v>162</v>
      </c>
      <c r="C17" s="23">
        <v>1.7000000000000001E-2</v>
      </c>
      <c r="D17" s="1"/>
    </row>
    <row r="18" spans="1:4" x14ac:dyDescent="0.25">
      <c r="A18" s="1"/>
      <c r="B18" s="106"/>
      <c r="C18" s="107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Os60a+luncWkWsAoi2n/gMHCGr1XWNtLmmNMkjhQKkbabXdhrMN67424K2ax0VEOWTm2TKBf+lVn1l4IZyw3VQ==" saltValue="Wrtirg1SmoIkiar5tlVv2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57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</v>
      </c>
      <c r="C8" s="38"/>
      <c r="D8" s="38"/>
      <c r="E8" s="38"/>
      <c r="F8" s="38"/>
      <c r="G8" s="1"/>
    </row>
    <row r="9" spans="1:7" x14ac:dyDescent="0.25">
      <c r="A9" s="1"/>
      <c r="B9" s="40" t="s">
        <v>35</v>
      </c>
      <c r="C9" s="40"/>
      <c r="D9" s="40"/>
      <c r="E9" s="7">
        <f>'Fane 3. Omkostninger i ØR2019'!$E$15</f>
        <v>8637174.2347020376</v>
      </c>
      <c r="F9" s="40" t="s">
        <v>3</v>
      </c>
      <c r="G9" s="1"/>
    </row>
    <row r="10" spans="1:7" x14ac:dyDescent="0.25">
      <c r="A10" s="1"/>
      <c r="B10" s="41" t="s">
        <v>169</v>
      </c>
      <c r="C10" s="40"/>
      <c r="D10" s="40"/>
      <c r="E10" s="7">
        <f>'Fane 3. Omkostninger i ØR2019'!$E$10*(1-'Fane 13. Nøgletal'!C17)*(1+'Fane 13. Nøgletal'!C10)</f>
        <v>0</v>
      </c>
      <c r="F10" s="40" t="s">
        <v>3</v>
      </c>
      <c r="G10" s="1"/>
    </row>
    <row r="11" spans="1:7" x14ac:dyDescent="0.25">
      <c r="A11" s="1"/>
      <c r="B11" s="41" t="s">
        <v>172</v>
      </c>
      <c r="C11" s="40"/>
      <c r="D11" s="40"/>
      <c r="E11" s="7">
        <f>('Fane 3. Omkostninger i ØR2019'!$E$11+'Fane 3. Omkostninger i ØR2019'!$E$12)*(1-'Fane 13. Nøgletal'!C17)*(1+'Fane 13. Nøgletal'!C11)</f>
        <v>0</v>
      </c>
      <c r="F11" s="40" t="s">
        <v>3</v>
      </c>
      <c r="G11" s="1"/>
    </row>
    <row r="12" spans="1:7" ht="17.100000000000001" customHeight="1" x14ac:dyDescent="0.25">
      <c r="A12" s="1"/>
      <c r="B12" s="31" t="s">
        <v>170</v>
      </c>
      <c r="C12" s="40"/>
      <c r="D12" s="40"/>
      <c r="E12" s="7">
        <f>'Fane 8.1. Varige tillæg'!C13+'Fane 8.1. Varige tillæg'!E13</f>
        <v>83216.6973</v>
      </c>
      <c r="F12" s="40" t="s">
        <v>3</v>
      </c>
      <c r="G12" s="1"/>
    </row>
    <row r="13" spans="1:7" ht="17.100000000000001" customHeight="1" x14ac:dyDescent="0.25">
      <c r="A13" s="1"/>
      <c r="B13" s="31" t="s">
        <v>171</v>
      </c>
      <c r="C13" s="40"/>
      <c r="D13" s="40"/>
      <c r="E13" s="8">
        <f>-('Fane 11. Bortfald'!C12+'Fane 11. Bortfald'!E12)</f>
        <v>0</v>
      </c>
      <c r="F13" s="40" t="s">
        <v>3</v>
      </c>
      <c r="G13" s="1"/>
    </row>
    <row r="14" spans="1:7" ht="17.100000000000001" customHeight="1" x14ac:dyDescent="0.25">
      <c r="A14" s="1"/>
      <c r="B14" s="31" t="s">
        <v>130</v>
      </c>
      <c r="C14" s="40"/>
      <c r="D14" s="40"/>
      <c r="E14" s="8">
        <f>'Fane 10. Tilknyttet aktivitet'!C12+'Fane 10. Tilknyttet aktivitet'!E12</f>
        <v>0</v>
      </c>
      <c r="F14" s="40" t="s">
        <v>3</v>
      </c>
      <c r="G14" s="1"/>
    </row>
    <row r="15" spans="1:7" ht="17.100000000000001" customHeight="1" x14ac:dyDescent="0.25">
      <c r="A15" s="1"/>
      <c r="B15" s="31" t="s">
        <v>26</v>
      </c>
      <c r="C15" s="40"/>
      <c r="D15" s="40"/>
      <c r="E15" s="8">
        <f>(E9-SUM(E10:E11))*'Fane 13. Nøgletal'!C9+E10*'Fane 13. Nøgletal'!C10+E11*'Fane 13. Nøgletal'!C11+SUM(E12:E14)*'Fane 13. Nøgletal'!C12</f>
        <v>111331.48171752588</v>
      </c>
      <c r="F15" s="40" t="s">
        <v>3</v>
      </c>
      <c r="G15" s="1"/>
    </row>
    <row r="16" spans="1:7" ht="17.100000000000001" customHeight="1" x14ac:dyDescent="0.25">
      <c r="A16" s="1"/>
      <c r="B16" s="31" t="s">
        <v>137</v>
      </c>
      <c r="C16" s="40"/>
      <c r="D16" s="40"/>
      <c r="E16" s="8">
        <f>-SUM(E9,E12:E15)*'Fane 13. Nøgletal'!C17</f>
        <v>-150139.28103323258</v>
      </c>
      <c r="F16" s="40" t="s">
        <v>3</v>
      </c>
      <c r="G16" s="1"/>
    </row>
    <row r="17" spans="1:7" ht="17.100000000000001" customHeight="1" x14ac:dyDescent="0.25">
      <c r="A17" s="1"/>
      <c r="B17" s="42" t="s">
        <v>28</v>
      </c>
      <c r="C17" s="37"/>
      <c r="D17" s="37"/>
      <c r="E17" s="9">
        <f>SUM(E9,E12:E16)</f>
        <v>8681583.13268633</v>
      </c>
      <c r="F17" s="35" t="s">
        <v>3</v>
      </c>
      <c r="G17" s="1"/>
    </row>
    <row r="18" spans="1:7" ht="15" customHeight="1" x14ac:dyDescent="0.25">
      <c r="A18" s="1"/>
      <c r="B18" s="38" t="s">
        <v>16</v>
      </c>
      <c r="C18" s="38"/>
      <c r="D18" s="38"/>
      <c r="E18" s="38"/>
      <c r="F18" s="38"/>
      <c r="G18" s="1"/>
    </row>
    <row r="19" spans="1:7" ht="15" customHeight="1" x14ac:dyDescent="0.25">
      <c r="A19" s="1"/>
      <c r="B19" s="35" t="s">
        <v>16</v>
      </c>
      <c r="C19" s="35"/>
      <c r="D19" s="35"/>
      <c r="E19" s="9">
        <f>'Fane 4. Ikke-påvirkelige omk.'!C13+'Fane 4. Ikke-påvirkelige omk.'!C17+'Fane 4. Ikke-påvirkelige omk.'!C25</f>
        <v>560072.49658569007</v>
      </c>
      <c r="F19" s="35" t="s">
        <v>3</v>
      </c>
      <c r="G19" s="1"/>
    </row>
    <row r="20" spans="1:7" ht="15" customHeight="1" x14ac:dyDescent="0.25">
      <c r="A20" s="1"/>
      <c r="B20" s="38" t="s">
        <v>86</v>
      </c>
      <c r="C20" s="38"/>
      <c r="D20" s="38"/>
      <c r="E20" s="38"/>
      <c r="F20" s="38"/>
      <c r="G20" s="1"/>
    </row>
    <row r="21" spans="1:7" ht="15" customHeight="1" x14ac:dyDescent="0.25">
      <c r="A21" s="1"/>
      <c r="B21" s="42" t="s">
        <v>86</v>
      </c>
      <c r="C21" s="37"/>
      <c r="D21" s="37"/>
      <c r="E21" s="9">
        <f>'Fane 9. Periodevise driftsomk.'!E11</f>
        <v>0</v>
      </c>
      <c r="F21" s="35" t="s">
        <v>3</v>
      </c>
      <c r="G21" s="1"/>
    </row>
    <row r="22" spans="1:7" ht="15" customHeight="1" x14ac:dyDescent="0.25">
      <c r="A22" s="1"/>
      <c r="B22" s="38" t="s">
        <v>85</v>
      </c>
      <c r="C22" s="38"/>
      <c r="D22" s="38"/>
      <c r="E22" s="38"/>
      <c r="F22" s="38"/>
      <c r="G22" s="1"/>
    </row>
    <row r="23" spans="1:7" ht="15" customHeight="1" x14ac:dyDescent="0.25">
      <c r="A23" s="1"/>
      <c r="B23" s="31" t="s">
        <v>81</v>
      </c>
      <c r="C23" s="40"/>
      <c r="D23" s="40"/>
      <c r="E23" s="8">
        <f>'Fane 8.2. Engangstillæg'!C13</f>
        <v>0</v>
      </c>
      <c r="F23" s="40" t="s">
        <v>3</v>
      </c>
      <c r="G23" s="1"/>
    </row>
    <row r="24" spans="1:7" ht="15" customHeight="1" x14ac:dyDescent="0.25">
      <c r="A24" s="1"/>
      <c r="B24" s="31" t="s">
        <v>82</v>
      </c>
      <c r="C24" s="40"/>
      <c r="D24" s="40"/>
      <c r="E24" s="8">
        <f>'Fane 8.2. Engangstillæg'!E13</f>
        <v>0</v>
      </c>
      <c r="F24" s="40" t="s">
        <v>3</v>
      </c>
      <c r="G24" s="1"/>
    </row>
    <row r="25" spans="1:7" x14ac:dyDescent="0.25">
      <c r="A25" s="1"/>
      <c r="B25" s="42" t="s">
        <v>88</v>
      </c>
      <c r="C25" s="37"/>
      <c r="D25" s="37"/>
      <c r="E25" s="9">
        <f>SUM(E23:E24)</f>
        <v>0</v>
      </c>
      <c r="F25" s="35" t="s">
        <v>3</v>
      </c>
      <c r="G25" s="1"/>
    </row>
    <row r="26" spans="1:7" x14ac:dyDescent="0.25">
      <c r="A26" s="1"/>
      <c r="B26" s="38" t="s">
        <v>10</v>
      </c>
      <c r="C26" s="38"/>
      <c r="D26" s="38"/>
      <c r="E26" s="38"/>
      <c r="F26" s="38"/>
      <c r="G26" s="1"/>
    </row>
    <row r="27" spans="1:7" ht="15" customHeight="1" x14ac:dyDescent="0.25">
      <c r="A27" s="1"/>
      <c r="B27" s="35" t="s">
        <v>18</v>
      </c>
      <c r="C27" s="35"/>
      <c r="D27" s="35"/>
      <c r="E27" s="9">
        <f>'Fane 12. Hist. over-underdæk.'!G14</f>
        <v>0</v>
      </c>
      <c r="F27" s="35" t="s">
        <v>3</v>
      </c>
      <c r="G27" s="1"/>
    </row>
    <row r="28" spans="1:7" ht="15" customHeight="1" x14ac:dyDescent="0.25">
      <c r="A28" s="1"/>
      <c r="B28" s="38" t="s">
        <v>175</v>
      </c>
      <c r="C28" s="38"/>
      <c r="D28" s="38"/>
      <c r="E28" s="38"/>
      <c r="F28" s="38"/>
      <c r="G28" s="1"/>
    </row>
    <row r="29" spans="1:7" x14ac:dyDescent="0.25">
      <c r="A29" s="1"/>
      <c r="B29" s="35" t="s">
        <v>176</v>
      </c>
      <c r="C29" s="35"/>
      <c r="D29" s="35"/>
      <c r="E29" s="9">
        <f>'Fane 6. Korrektioner'!E20</f>
        <v>0</v>
      </c>
      <c r="F29" s="35" t="s">
        <v>3</v>
      </c>
      <c r="G29" s="1"/>
    </row>
    <row r="30" spans="1:7" x14ac:dyDescent="0.25">
      <c r="A30" s="1"/>
      <c r="B30" s="38" t="s">
        <v>36</v>
      </c>
      <c r="C30" s="38"/>
      <c r="D30" s="38"/>
      <c r="E30" s="10">
        <f>SUM(E17,E19,E21,E25,E27,E29)</f>
        <v>9241655.6292720195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/StfueAnNxhw+CvI+rqAncfn+6eHjvcxe0RhspX3xbamXlqhmfiYHVDKbGlH7BysRj6WPEkIjpu32uZvIzsIA==" saltValue="WcFtCLO7o4mQB1qOgaES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</v>
      </c>
      <c r="C8" s="38"/>
      <c r="D8" s="38"/>
      <c r="E8" s="38"/>
      <c r="F8" s="38"/>
      <c r="G8" s="1"/>
    </row>
    <row r="9" spans="1:7" ht="15" customHeight="1" x14ac:dyDescent="0.25">
      <c r="A9" s="1"/>
      <c r="B9" s="40" t="s">
        <v>37</v>
      </c>
      <c r="C9" s="40"/>
      <c r="D9" s="40"/>
      <c r="E9" s="7">
        <f>'Fane 2.1. Økonomisk ramme 2020'!E17</f>
        <v>8681583.13268633</v>
      </c>
      <c r="F9" s="40" t="s">
        <v>3</v>
      </c>
      <c r="G9" s="1"/>
    </row>
    <row r="10" spans="1:7" ht="15" customHeight="1" x14ac:dyDescent="0.25">
      <c r="A10" s="1"/>
      <c r="B10" s="40" t="s">
        <v>192</v>
      </c>
      <c r="C10" s="40"/>
      <c r="D10" s="40"/>
      <c r="E10" s="7">
        <v>50065.539814534583</v>
      </c>
      <c r="F10" s="40" t="s">
        <v>3</v>
      </c>
      <c r="G10" s="1"/>
    </row>
    <row r="11" spans="1:7" ht="15" customHeight="1" x14ac:dyDescent="0.25">
      <c r="A11" s="1"/>
      <c r="B11" s="31" t="s">
        <v>171</v>
      </c>
      <c r="C11" s="40"/>
      <c r="D11" s="40"/>
      <c r="E11" s="7">
        <f>-('Fane 11. Bortfald'!C18+'Fane 11. Bortfald'!E18)</f>
        <v>0</v>
      </c>
      <c r="F11" s="40" t="s">
        <v>3</v>
      </c>
      <c r="G11" s="1"/>
    </row>
    <row r="12" spans="1:7" ht="15" customHeight="1" x14ac:dyDescent="0.25">
      <c r="A12" s="1"/>
      <c r="B12" s="36" t="s">
        <v>26</v>
      </c>
      <c r="C12" s="40"/>
      <c r="D12" s="40"/>
      <c r="E12" s="8">
        <f>SUM(E9:E11)*'Fane 13. Nøgletal'!C12</f>
        <v>172013.478848267</v>
      </c>
      <c r="F12" s="40" t="s">
        <v>3</v>
      </c>
      <c r="G12" s="1"/>
    </row>
    <row r="13" spans="1:7" ht="15" customHeight="1" x14ac:dyDescent="0.25">
      <c r="A13" s="1"/>
      <c r="B13" s="36" t="s">
        <v>137</v>
      </c>
      <c r="C13" s="40"/>
      <c r="D13" s="40"/>
      <c r="E13" s="8">
        <f>-SUM(E9:E12)*'Fane 13. Nøgletal'!C17</f>
        <v>-151362.25657293524</v>
      </c>
      <c r="F13" s="40" t="s">
        <v>3</v>
      </c>
      <c r="G13" s="1"/>
    </row>
    <row r="14" spans="1:7" ht="15" customHeight="1" x14ac:dyDescent="0.25">
      <c r="A14" s="1"/>
      <c r="B14" s="37" t="s">
        <v>28</v>
      </c>
      <c r="C14" s="37"/>
      <c r="D14" s="37"/>
      <c r="E14" s="9">
        <f>SUM(E9:E13)</f>
        <v>8752299.8947761953</v>
      </c>
      <c r="F14" s="35" t="s">
        <v>3</v>
      </c>
      <c r="G14" s="1"/>
    </row>
    <row r="15" spans="1:7" x14ac:dyDescent="0.25">
      <c r="A15" s="1"/>
      <c r="B15" s="38" t="s">
        <v>16</v>
      </c>
      <c r="C15" s="38"/>
      <c r="D15" s="38"/>
      <c r="E15" s="38"/>
      <c r="F15" s="38"/>
      <c r="G15" s="1"/>
    </row>
    <row r="16" spans="1:7" ht="15" customHeight="1" x14ac:dyDescent="0.25">
      <c r="A16" s="1"/>
      <c r="B16" s="35" t="s">
        <v>16</v>
      </c>
      <c r="C16" s="35"/>
      <c r="D16" s="35"/>
      <c r="E16" s="9">
        <f>'Fane 4. Ikke-påvirkelige omk.'!C13*(1+'Fane 13. Nøgletal'!C12)+'Fane 4. Ikke-påvirkelige omk.'!C18+'Fane 4. Ikke-påvirkelige omk.'!C26</f>
        <v>571105.9247684282</v>
      </c>
      <c r="F16" s="35" t="s">
        <v>3</v>
      </c>
      <c r="G16" s="1"/>
    </row>
    <row r="17" spans="1:7" ht="15" customHeight="1" x14ac:dyDescent="0.25">
      <c r="A17" s="1"/>
      <c r="B17" s="38" t="s">
        <v>86</v>
      </c>
      <c r="C17" s="38"/>
      <c r="D17" s="38"/>
      <c r="E17" s="38"/>
      <c r="F17" s="38"/>
      <c r="G17" s="1"/>
    </row>
    <row r="18" spans="1:7" ht="15" customHeight="1" x14ac:dyDescent="0.25">
      <c r="A18" s="1"/>
      <c r="B18" s="42" t="s">
        <v>87</v>
      </c>
      <c r="C18" s="37"/>
      <c r="D18" s="37"/>
      <c r="E18" s="9">
        <f>'Fane 9. Periodevise driftsomk.'!E16</f>
        <v>0</v>
      </c>
      <c r="F18" s="35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1" t="s">
        <v>81</v>
      </c>
      <c r="C20" s="40"/>
      <c r="D20" s="40"/>
      <c r="E20" s="8">
        <f>'Fane 8.2. Engangstillæg'!C20</f>
        <v>0</v>
      </c>
      <c r="F20" s="40" t="s">
        <v>3</v>
      </c>
      <c r="G20" s="1"/>
    </row>
    <row r="21" spans="1:7" ht="15" customHeight="1" x14ac:dyDescent="0.25">
      <c r="A21" s="1"/>
      <c r="B21" s="31" t="s">
        <v>82</v>
      </c>
      <c r="C21" s="40"/>
      <c r="D21" s="40"/>
      <c r="E21" s="8">
        <f>'Fane 8.2. Engangstillæg'!E20</f>
        <v>0</v>
      </c>
      <c r="F21" s="40" t="s">
        <v>3</v>
      </c>
      <c r="G21" s="1"/>
    </row>
    <row r="22" spans="1:7" ht="15" customHeight="1" x14ac:dyDescent="0.25">
      <c r="A22" s="1"/>
      <c r="B22" s="42" t="s">
        <v>88</v>
      </c>
      <c r="C22" s="37"/>
      <c r="D22" s="37"/>
      <c r="E22" s="9">
        <f>SUM(E20:E21)</f>
        <v>0</v>
      </c>
      <c r="F22" s="35" t="s">
        <v>3</v>
      </c>
      <c r="G22" s="1"/>
    </row>
    <row r="23" spans="1:7" x14ac:dyDescent="0.25">
      <c r="A23" s="1"/>
      <c r="B23" s="38" t="s">
        <v>107</v>
      </c>
      <c r="C23" s="38"/>
      <c r="D23" s="38"/>
      <c r="E23" s="38"/>
      <c r="F23" s="38"/>
      <c r="G23" s="1"/>
    </row>
    <row r="24" spans="1:7" ht="15" customHeight="1" x14ac:dyDescent="0.25">
      <c r="A24" s="1"/>
      <c r="B24" s="35" t="s">
        <v>159</v>
      </c>
      <c r="C24" s="35"/>
      <c r="D24" s="35"/>
      <c r="E24" s="9">
        <f>'Fane 5. Kontrol af ØR2018'!E35</f>
        <v>-155474.91821353501</v>
      </c>
      <c r="F24" s="35" t="s">
        <v>3</v>
      </c>
      <c r="G24" s="1"/>
    </row>
    <row r="25" spans="1:7" x14ac:dyDescent="0.25">
      <c r="A25" s="1"/>
      <c r="B25" s="38" t="s">
        <v>39</v>
      </c>
      <c r="C25" s="38"/>
      <c r="D25" s="38"/>
      <c r="E25" s="10">
        <f>SUM(E14,E16,E18,E22,E24)</f>
        <v>9167930.9013310876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6hhPiVwYnqyBCNF+qoKZLqqz9B6YhUiFSK4+MzZlz9N3hnsgiGnmaiLDbWDkd73lXjfggB7hk1zrPeA+MdtBew==" saltValue="TsCr/4PfBDs3kvmBGe6B5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174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19</v>
      </c>
      <c r="C7" s="38"/>
      <c r="D7" s="38"/>
      <c r="E7" s="38"/>
      <c r="F7" s="38"/>
      <c r="G7" s="1"/>
    </row>
    <row r="8" spans="1:7" ht="15" customHeight="1" x14ac:dyDescent="0.25">
      <c r="A8" s="1"/>
      <c r="B8" s="40" t="s">
        <v>37</v>
      </c>
      <c r="C8" s="40"/>
      <c r="D8" s="40"/>
      <c r="E8" s="7">
        <f>'Fane 2.2. Økonomisk ramme 2021'!E14</f>
        <v>8752299.8947761953</v>
      </c>
      <c r="F8" s="40" t="s">
        <v>3</v>
      </c>
      <c r="G8" s="1"/>
    </row>
    <row r="9" spans="1:7" ht="15" customHeight="1" x14ac:dyDescent="0.25">
      <c r="A9" s="1"/>
      <c r="B9" s="40" t="s">
        <v>171</v>
      </c>
      <c r="C9" s="40"/>
      <c r="D9" s="40"/>
      <c r="E9" s="7">
        <f>-('Fane 11. Bortfald'!C24+'Fane 11. Bortfald'!E24)</f>
        <v>0</v>
      </c>
      <c r="F9" s="40" t="s">
        <v>3</v>
      </c>
      <c r="G9" s="1"/>
    </row>
    <row r="10" spans="1:7" ht="15" customHeight="1" x14ac:dyDescent="0.25">
      <c r="A10" s="1"/>
      <c r="B10" s="36" t="s">
        <v>26</v>
      </c>
      <c r="C10" s="40"/>
      <c r="D10" s="40"/>
      <c r="E10" s="8">
        <f>SUM(E8:E9)*'Fane 13. Nøgletal'!C12</f>
        <v>172420.30792709102</v>
      </c>
      <c r="F10" s="40" t="s">
        <v>3</v>
      </c>
      <c r="G10" s="1"/>
    </row>
    <row r="11" spans="1:7" ht="15" customHeight="1" x14ac:dyDescent="0.25">
      <c r="A11" s="1"/>
      <c r="B11" s="36" t="s">
        <v>137</v>
      </c>
      <c r="C11" s="40"/>
      <c r="D11" s="40"/>
      <c r="E11" s="8">
        <f>-SUM(E8:E10)*'Fane 13. Nøgletal'!C17</f>
        <v>-151720.24344595589</v>
      </c>
      <c r="F11" s="40" t="s">
        <v>3</v>
      </c>
      <c r="G11" s="1"/>
    </row>
    <row r="12" spans="1:7" x14ac:dyDescent="0.25">
      <c r="A12" s="1"/>
      <c r="B12" s="37" t="s">
        <v>28</v>
      </c>
      <c r="C12" s="37"/>
      <c r="D12" s="37"/>
      <c r="E12" s="9">
        <f>SUM(E8:E11)</f>
        <v>8772999.9592573307</v>
      </c>
      <c r="F12" s="35" t="s">
        <v>3</v>
      </c>
      <c r="G12" s="1"/>
    </row>
    <row r="13" spans="1:7" x14ac:dyDescent="0.25">
      <c r="A13" s="1"/>
      <c r="B13" s="38" t="s">
        <v>16</v>
      </c>
      <c r="C13" s="38"/>
      <c r="D13" s="38"/>
      <c r="E13" s="38"/>
      <c r="F13" s="38"/>
      <c r="G13" s="1"/>
    </row>
    <row r="14" spans="1:7" ht="15" customHeight="1" x14ac:dyDescent="0.25">
      <c r="A14" s="1"/>
      <c r="B14" s="35" t="s">
        <v>16</v>
      </c>
      <c r="C14" s="35"/>
      <c r="D14" s="35"/>
      <c r="E14" s="9">
        <f>'Fane 4. Ikke-påvirkelige omk.'!C13*(1+'Fane 13. Nøgletal'!C12)^2+'Fane 4. Ikke-påvirkelige omk.'!C19+'Fane 4. Ikke-påvirkelige omk.'!C27</f>
        <v>582356.71148636623</v>
      </c>
      <c r="F14" s="35" t="s">
        <v>3</v>
      </c>
      <c r="G14" s="1"/>
    </row>
    <row r="15" spans="1:7" ht="15" customHeight="1" x14ac:dyDescent="0.25">
      <c r="A15" s="1"/>
      <c r="B15" s="38" t="s">
        <v>86</v>
      </c>
      <c r="C15" s="38"/>
      <c r="D15" s="38"/>
      <c r="E15" s="38"/>
      <c r="F15" s="38"/>
      <c r="G15" s="1"/>
    </row>
    <row r="16" spans="1:7" ht="15" customHeight="1" x14ac:dyDescent="0.25">
      <c r="A16" s="1"/>
      <c r="B16" s="42" t="s">
        <v>87</v>
      </c>
      <c r="C16" s="37"/>
      <c r="D16" s="37"/>
      <c r="E16" s="9">
        <f>'Fane 9. Periodevise driftsomk.'!E21</f>
        <v>0</v>
      </c>
      <c r="F16" s="35" t="s">
        <v>3</v>
      </c>
      <c r="G16" s="1"/>
    </row>
    <row r="17" spans="1:7" ht="15" customHeight="1" x14ac:dyDescent="0.25">
      <c r="A17" s="1"/>
      <c r="B17" s="38" t="s">
        <v>85</v>
      </c>
      <c r="C17" s="38"/>
      <c r="D17" s="38"/>
      <c r="E17" s="38"/>
      <c r="F17" s="38"/>
      <c r="G17" s="1"/>
    </row>
    <row r="18" spans="1:7" ht="15" customHeight="1" x14ac:dyDescent="0.25">
      <c r="A18" s="1"/>
      <c r="B18" s="31" t="s">
        <v>81</v>
      </c>
      <c r="C18" s="40"/>
      <c r="D18" s="40"/>
      <c r="E18" s="8">
        <f>'Fane 8.2. Engangstillæg'!C27</f>
        <v>0</v>
      </c>
      <c r="F18" s="40" t="s">
        <v>3</v>
      </c>
      <c r="G18" s="1"/>
    </row>
    <row r="19" spans="1:7" ht="15" customHeight="1" x14ac:dyDescent="0.25">
      <c r="A19" s="1"/>
      <c r="B19" s="31" t="s">
        <v>82</v>
      </c>
      <c r="C19" s="40"/>
      <c r="D19" s="40"/>
      <c r="E19" s="8">
        <f>'Fane 8.2. Engangstillæg'!E27</f>
        <v>0</v>
      </c>
      <c r="F19" s="40" t="s">
        <v>3</v>
      </c>
      <c r="G19" s="1"/>
    </row>
    <row r="20" spans="1:7" ht="15" customHeight="1" x14ac:dyDescent="0.25">
      <c r="A20" s="1"/>
      <c r="B20" s="42" t="s">
        <v>88</v>
      </c>
      <c r="C20" s="37"/>
      <c r="D20" s="37"/>
      <c r="E20" s="9">
        <f>SUM(E18:E19)</f>
        <v>0</v>
      </c>
      <c r="F20" s="35" t="s">
        <v>3</v>
      </c>
      <c r="G20" s="1"/>
    </row>
    <row r="21" spans="1:7" ht="15" customHeight="1" x14ac:dyDescent="0.25">
      <c r="A21" s="1"/>
      <c r="B21" s="38" t="s">
        <v>107</v>
      </c>
      <c r="C21" s="38"/>
      <c r="D21" s="38"/>
      <c r="E21" s="38"/>
      <c r="F21" s="38"/>
      <c r="G21" s="1"/>
    </row>
    <row r="22" spans="1:7" ht="15" customHeight="1" x14ac:dyDescent="0.25">
      <c r="A22" s="1"/>
      <c r="B22" s="35" t="s">
        <v>159</v>
      </c>
      <c r="C22" s="35"/>
      <c r="D22" s="35"/>
      <c r="E22" s="9">
        <f>'Fane 2.2. Økonomisk ramme 2021'!E24</f>
        <v>-155474.91821353501</v>
      </c>
      <c r="F22" s="35" t="s">
        <v>3</v>
      </c>
      <c r="G22" s="1"/>
    </row>
    <row r="23" spans="1:7" x14ac:dyDescent="0.25">
      <c r="A23" s="1"/>
      <c r="B23" s="38" t="s">
        <v>40</v>
      </c>
      <c r="C23" s="38"/>
      <c r="D23" s="38"/>
      <c r="E23" s="10">
        <f>SUM(E12,E14,E16,E20,E22)</f>
        <v>9199881.7525301613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N7et+3CIhaoCf8I6bj5A1fsyIhQpRPS0ZxL7JcW1WzXdz1EgS9Ojw2IMol2sw7I2Yjx05kIQLKbagOK3g1Lzw==" saltValue="f32vEpj5xQT2mi4FbXwO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19</v>
      </c>
      <c r="C7" s="38"/>
      <c r="D7" s="38"/>
      <c r="E7" s="38"/>
      <c r="F7" s="38"/>
      <c r="G7" s="1"/>
    </row>
    <row r="8" spans="1:7" ht="15" customHeight="1" x14ac:dyDescent="0.25">
      <c r="A8" s="1"/>
      <c r="B8" s="40" t="s">
        <v>38</v>
      </c>
      <c r="C8" s="40"/>
      <c r="D8" s="40"/>
      <c r="E8" s="7">
        <f>'Fane 2.3. Økonomisk ramme 2022'!E12</f>
        <v>8772999.9592573307</v>
      </c>
      <c r="F8" s="40" t="s">
        <v>3</v>
      </c>
      <c r="G8" s="1"/>
    </row>
    <row r="9" spans="1:7" ht="15" customHeight="1" x14ac:dyDescent="0.25">
      <c r="A9" s="1"/>
      <c r="B9" s="40" t="s">
        <v>171</v>
      </c>
      <c r="C9" s="40"/>
      <c r="D9" s="40"/>
      <c r="E9" s="7">
        <f>-('Fane 11. Bortfald'!C30+'Fane 11. Bortfald'!E30)</f>
        <v>0</v>
      </c>
      <c r="F9" s="40" t="s">
        <v>3</v>
      </c>
      <c r="G9" s="1"/>
    </row>
    <row r="10" spans="1:7" ht="15" customHeight="1" x14ac:dyDescent="0.25">
      <c r="A10" s="1"/>
      <c r="B10" s="36" t="s">
        <v>26</v>
      </c>
      <c r="C10" s="40"/>
      <c r="D10" s="40"/>
      <c r="E10" s="8">
        <f>E8*'Fane 13. Nøgletal'!C12</f>
        <v>172828.09919736942</v>
      </c>
      <c r="F10" s="40" t="s">
        <v>3</v>
      </c>
      <c r="G10" s="1"/>
    </row>
    <row r="11" spans="1:7" ht="15" customHeight="1" x14ac:dyDescent="0.25">
      <c r="A11" s="1"/>
      <c r="B11" s="36" t="s">
        <v>137</v>
      </c>
      <c r="C11" s="40"/>
      <c r="D11" s="40"/>
      <c r="E11" s="8">
        <f>-SUM(E8:E10)*'Fane 13. Nøgletal'!C17</f>
        <v>-152079.07699372992</v>
      </c>
      <c r="F11" s="40" t="s">
        <v>3</v>
      </c>
      <c r="G11" s="1"/>
    </row>
    <row r="12" spans="1:7" x14ac:dyDescent="0.25">
      <c r="A12" s="1"/>
      <c r="B12" s="37" t="s">
        <v>28</v>
      </c>
      <c r="C12" s="37"/>
      <c r="D12" s="37"/>
      <c r="E12" s="9">
        <f>SUM(E8:E11)</f>
        <v>8793748.9814609699</v>
      </c>
      <c r="F12" s="35" t="s">
        <v>3</v>
      </c>
      <c r="G12" s="1"/>
    </row>
    <row r="13" spans="1:7" x14ac:dyDescent="0.25">
      <c r="A13" s="1"/>
      <c r="B13" s="38" t="s">
        <v>16</v>
      </c>
      <c r="C13" s="38"/>
      <c r="D13" s="38"/>
      <c r="E13" s="38"/>
      <c r="F13" s="38"/>
      <c r="G13" s="1"/>
    </row>
    <row r="14" spans="1:7" ht="15" customHeight="1" x14ac:dyDescent="0.25">
      <c r="A14" s="1"/>
      <c r="B14" s="35" t="s">
        <v>16</v>
      </c>
      <c r="C14" s="35"/>
      <c r="D14" s="35"/>
      <c r="E14" s="9">
        <f>'Fane 4. Ikke-påvirkelige omk.'!C13*(1+'Fane 13. Nøgletal'!C12)^3+'Fane 4. Ikke-påvirkelige omk.'!C20+'Fane 4. Ikke-påvirkelige omk.'!C28</f>
        <v>593829.13870264764</v>
      </c>
      <c r="F14" s="35" t="s">
        <v>3</v>
      </c>
      <c r="G14" s="1"/>
    </row>
    <row r="15" spans="1:7" ht="15" customHeight="1" x14ac:dyDescent="0.25">
      <c r="A15" s="1"/>
      <c r="B15" s="38" t="s">
        <v>86</v>
      </c>
      <c r="C15" s="38"/>
      <c r="D15" s="38"/>
      <c r="E15" s="38"/>
      <c r="F15" s="38"/>
      <c r="G15" s="1"/>
    </row>
    <row r="16" spans="1:7" ht="15" customHeight="1" x14ac:dyDescent="0.25">
      <c r="A16" s="1"/>
      <c r="B16" s="42" t="s">
        <v>87</v>
      </c>
      <c r="C16" s="37"/>
      <c r="D16" s="37"/>
      <c r="E16" s="9">
        <f>'Fane 9. Periodevise driftsomk.'!E26</f>
        <v>0</v>
      </c>
      <c r="F16" s="35" t="s">
        <v>3</v>
      </c>
      <c r="G16" s="1"/>
    </row>
    <row r="17" spans="1:7" ht="15" customHeight="1" x14ac:dyDescent="0.25">
      <c r="A17" s="1"/>
      <c r="B17" s="38" t="s">
        <v>85</v>
      </c>
      <c r="C17" s="38"/>
      <c r="D17" s="38"/>
      <c r="E17" s="38"/>
      <c r="F17" s="38"/>
      <c r="G17" s="1"/>
    </row>
    <row r="18" spans="1:7" ht="15" customHeight="1" x14ac:dyDescent="0.25">
      <c r="A18" s="1"/>
      <c r="B18" s="31" t="s">
        <v>81</v>
      </c>
      <c r="C18" s="40"/>
      <c r="D18" s="40"/>
      <c r="E18" s="8">
        <f>'Fane 8.2. Engangstillæg'!C34</f>
        <v>0</v>
      </c>
      <c r="F18" s="40" t="s">
        <v>3</v>
      </c>
      <c r="G18" s="1"/>
    </row>
    <row r="19" spans="1:7" ht="15" customHeight="1" x14ac:dyDescent="0.25">
      <c r="A19" s="1"/>
      <c r="B19" s="31" t="s">
        <v>82</v>
      </c>
      <c r="C19" s="40"/>
      <c r="D19" s="40"/>
      <c r="E19" s="8">
        <f>'Fane 8.2. Engangstillæg'!E34</f>
        <v>0</v>
      </c>
      <c r="F19" s="40" t="s">
        <v>3</v>
      </c>
      <c r="G19" s="1"/>
    </row>
    <row r="20" spans="1:7" ht="15" customHeight="1" x14ac:dyDescent="0.25">
      <c r="A20" s="1"/>
      <c r="B20" s="42" t="s">
        <v>88</v>
      </c>
      <c r="C20" s="37"/>
      <c r="D20" s="37"/>
      <c r="E20" s="9">
        <f>SUM(E18:E19)</f>
        <v>0</v>
      </c>
      <c r="F20" s="35" t="s">
        <v>3</v>
      </c>
      <c r="G20" s="1"/>
    </row>
    <row r="21" spans="1:7" ht="15" customHeight="1" x14ac:dyDescent="0.25">
      <c r="A21" s="1"/>
      <c r="B21" s="38" t="s">
        <v>107</v>
      </c>
      <c r="C21" s="38"/>
      <c r="D21" s="38"/>
      <c r="E21" s="38"/>
      <c r="F21" s="38"/>
      <c r="G21" s="1"/>
    </row>
    <row r="22" spans="1:7" ht="15" customHeight="1" x14ac:dyDescent="0.25">
      <c r="A22" s="1"/>
      <c r="B22" s="35" t="s">
        <v>159</v>
      </c>
      <c r="C22" s="35"/>
      <c r="D22" s="35"/>
      <c r="E22" s="9">
        <f>'Fane 2.3. Økonomisk ramme 2022'!E22</f>
        <v>-155474.91821353501</v>
      </c>
      <c r="F22" s="35" t="s">
        <v>3</v>
      </c>
      <c r="G22" s="1"/>
    </row>
    <row r="23" spans="1:7" x14ac:dyDescent="0.25">
      <c r="A23" s="1"/>
      <c r="B23" s="38" t="s">
        <v>92</v>
      </c>
      <c r="C23" s="38"/>
      <c r="D23" s="38"/>
      <c r="E23" s="10">
        <f>SUM(E12,E14,E16,E20,E22)</f>
        <v>9232103.2019500826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/SQo9otjD2dpZoZUzJZndTUcL44zlr0O8WpOUtuHhyaRbpDjM9Lq1Tv/gd2q46ytHnYltJDp+8S4ZOgRBNUO1w==" saltValue="BmAtHGb/3Gio/XfijExA/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166</v>
      </c>
      <c r="C3" s="68"/>
      <c r="D3" s="68"/>
      <c r="E3" s="68"/>
      <c r="F3" s="68"/>
      <c r="G3" s="1"/>
    </row>
    <row r="4" spans="1:7" ht="29.2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73</v>
      </c>
      <c r="C8" s="38"/>
      <c r="D8" s="38"/>
      <c r="E8" s="38"/>
      <c r="F8" s="38"/>
      <c r="G8" s="1"/>
    </row>
    <row r="9" spans="1:7" x14ac:dyDescent="0.25">
      <c r="A9" s="1"/>
      <c r="B9" s="69" t="s">
        <v>71</v>
      </c>
      <c r="C9" s="69"/>
      <c r="D9" s="69"/>
      <c r="E9" s="7">
        <v>8676355.789813254</v>
      </c>
      <c r="F9" s="40" t="s">
        <v>3</v>
      </c>
      <c r="G9" s="1"/>
    </row>
    <row r="10" spans="1:7" x14ac:dyDescent="0.25">
      <c r="A10" s="1"/>
      <c r="B10" s="71" t="s">
        <v>169</v>
      </c>
      <c r="C10" s="71"/>
      <c r="D10" s="71"/>
      <c r="E10" s="7">
        <v>0</v>
      </c>
      <c r="F10" s="40" t="s">
        <v>3</v>
      </c>
      <c r="G10" s="1"/>
    </row>
    <row r="11" spans="1:7" x14ac:dyDescent="0.25">
      <c r="A11" s="1"/>
      <c r="B11" s="70" t="s">
        <v>170</v>
      </c>
      <c r="C11" s="70"/>
      <c r="D11" s="70"/>
      <c r="E11" s="7">
        <v>0</v>
      </c>
      <c r="F11" s="40" t="s">
        <v>3</v>
      </c>
      <c r="G11" s="1"/>
    </row>
    <row r="12" spans="1:7" x14ac:dyDescent="0.25">
      <c r="A12" s="1"/>
      <c r="B12" s="70" t="s">
        <v>171</v>
      </c>
      <c r="C12" s="70"/>
      <c r="D12" s="70"/>
      <c r="E12" s="8">
        <v>0</v>
      </c>
      <c r="F12" s="40" t="s">
        <v>3</v>
      </c>
      <c r="G12" s="1"/>
    </row>
    <row r="13" spans="1:7" x14ac:dyDescent="0.25">
      <c r="A13" s="1"/>
      <c r="B13" s="70" t="s">
        <v>26</v>
      </c>
      <c r="C13" s="70"/>
      <c r="D13" s="70"/>
      <c r="E13" s="8">
        <f>(E9-E10)*'Fane 13. Nøgletal'!C9+E10*'Fane 13. Nøgletal'!C10+SUM(E11:E12)*'Fane 13. Nøgletal'!C11</f>
        <v>110189.71853062832</v>
      </c>
      <c r="F13" s="40" t="s">
        <v>3</v>
      </c>
      <c r="G13" s="1"/>
    </row>
    <row r="14" spans="1:7" x14ac:dyDescent="0.25">
      <c r="A14" s="1"/>
      <c r="B14" s="70" t="s">
        <v>137</v>
      </c>
      <c r="C14" s="70"/>
      <c r="D14" s="70"/>
      <c r="E14" s="8">
        <f>-SUM(E9:E9,E11:E13)*'Fane 13. Nøgletal'!C17</f>
        <v>-149371.27364184603</v>
      </c>
      <c r="F14" s="40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8637174.2347020376</v>
      </c>
      <c r="F15" s="35" t="s">
        <v>3</v>
      </c>
      <c r="G15" s="1"/>
    </row>
    <row r="16" spans="1:7" x14ac:dyDescent="0.25">
      <c r="A16" s="1"/>
      <c r="B16" s="76" t="s">
        <v>86</v>
      </c>
      <c r="C16" s="77"/>
      <c r="D16" s="77"/>
      <c r="E16" s="77"/>
      <c r="F16" s="78"/>
      <c r="G16" s="1"/>
    </row>
    <row r="17" spans="1:7" x14ac:dyDescent="0.25">
      <c r="A17" s="1"/>
      <c r="B17" s="79" t="s">
        <v>164</v>
      </c>
      <c r="C17" s="80"/>
      <c r="D17" s="81"/>
      <c r="E17" s="34">
        <v>0</v>
      </c>
      <c r="F17" s="40" t="s">
        <v>3</v>
      </c>
      <c r="G17" s="1"/>
    </row>
    <row r="18" spans="1:7" x14ac:dyDescent="0.25">
      <c r="A18" s="1"/>
      <c r="B18" s="79" t="s">
        <v>167</v>
      </c>
      <c r="C18" s="80"/>
      <c r="D18" s="81"/>
      <c r="E18" s="34">
        <f>-E17*'Fane 13. Nøgletal'!C17</f>
        <v>0</v>
      </c>
      <c r="F18" s="40" t="s">
        <v>3</v>
      </c>
      <c r="G18" s="1"/>
    </row>
    <row r="19" spans="1:7" x14ac:dyDescent="0.25">
      <c r="A19" s="1"/>
      <c r="B19" s="82" t="s">
        <v>168</v>
      </c>
      <c r="C19" s="83"/>
      <c r="D19" s="84"/>
      <c r="E19" s="9">
        <f>SUM(E17:E18)</f>
        <v>0</v>
      </c>
      <c r="F19" s="35" t="s">
        <v>3</v>
      </c>
      <c r="G19" s="1"/>
    </row>
    <row r="20" spans="1:7" x14ac:dyDescent="0.25">
      <c r="A20" s="1"/>
      <c r="B20" s="85" t="s">
        <v>16</v>
      </c>
      <c r="C20" s="85"/>
      <c r="D20" s="85"/>
      <c r="E20" s="38"/>
      <c r="F20" s="38"/>
      <c r="G20" s="1"/>
    </row>
    <row r="21" spans="1:7" x14ac:dyDescent="0.25">
      <c r="A21" s="1"/>
      <c r="B21" s="74" t="s">
        <v>16</v>
      </c>
      <c r="C21" s="74"/>
      <c r="D21" s="74"/>
      <c r="E21" s="9">
        <v>516792.5562823799</v>
      </c>
      <c r="F21" s="35" t="s">
        <v>3</v>
      </c>
      <c r="G21" s="1"/>
    </row>
    <row r="22" spans="1:7" x14ac:dyDescent="0.25">
      <c r="A22" s="1"/>
      <c r="B22" s="38" t="s">
        <v>72</v>
      </c>
      <c r="C22" s="38"/>
      <c r="D22" s="38"/>
      <c r="E22" s="38"/>
      <c r="F22" s="38"/>
      <c r="G22" s="1"/>
    </row>
    <row r="23" spans="1:7" ht="27" customHeight="1" x14ac:dyDescent="0.25">
      <c r="A23" s="1"/>
      <c r="B23" s="73" t="s">
        <v>75</v>
      </c>
      <c r="C23" s="73"/>
      <c r="D23" s="73"/>
      <c r="E23" s="9">
        <v>3505.7297303423247</v>
      </c>
      <c r="F23" s="35" t="s">
        <v>3</v>
      </c>
      <c r="G23" s="1"/>
    </row>
    <row r="24" spans="1:7" x14ac:dyDescent="0.25">
      <c r="A24" s="1"/>
      <c r="B24" s="38" t="s">
        <v>10</v>
      </c>
      <c r="C24" s="38"/>
      <c r="D24" s="38"/>
      <c r="E24" s="38"/>
      <c r="F24" s="38"/>
      <c r="G24" s="1"/>
    </row>
    <row r="25" spans="1:7" x14ac:dyDescent="0.25">
      <c r="A25" s="1"/>
      <c r="B25" s="74" t="s">
        <v>18</v>
      </c>
      <c r="C25" s="74"/>
      <c r="D25" s="74"/>
      <c r="E25" s="9">
        <v>0</v>
      </c>
      <c r="F25" s="35" t="s">
        <v>3</v>
      </c>
      <c r="G25" s="1"/>
    </row>
    <row r="26" spans="1:7" x14ac:dyDescent="0.25">
      <c r="A26" s="1"/>
      <c r="B26" s="38" t="s">
        <v>23</v>
      </c>
      <c r="C26" s="38"/>
      <c r="D26" s="38"/>
      <c r="E26" s="10">
        <f>SUM(E25,E23,E21,E15,E19)</f>
        <v>9157472.5207147598</v>
      </c>
      <c r="F26" s="11" t="s">
        <v>3</v>
      </c>
      <c r="G26" s="1"/>
    </row>
    <row r="27" spans="1:7" ht="28.5" customHeight="1" x14ac:dyDescent="0.25">
      <c r="A27" s="1"/>
      <c r="B27" s="72" t="s">
        <v>140</v>
      </c>
      <c r="C27" s="72"/>
      <c r="D27" s="72"/>
      <c r="E27" s="72"/>
      <c r="F27" s="72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T4GSa4u4agZjIpEFhVAQ/ufU2zGBkiJOUcXjo3HM05bQydVygEqMMdSbrrenm8v+28w3YkErb/cnhGQwbNvrQ==" saltValue="F1rekZwXRdbXLAFSvCKSDA==" spinCount="100000" sheet="1" objects="1" scenarios="1"/>
  <mergeCells count="17">
    <mergeCell ref="B27:F27"/>
    <mergeCell ref="B23:D23"/>
    <mergeCell ref="B25:D25"/>
    <mergeCell ref="B13:D13"/>
    <mergeCell ref="B14:D14"/>
    <mergeCell ref="B15:D15"/>
    <mergeCell ref="B16:F16"/>
    <mergeCell ref="B17:D17"/>
    <mergeCell ref="B18:D18"/>
    <mergeCell ref="B19:D19"/>
    <mergeCell ref="B20:D20"/>
    <mergeCell ref="B21:D21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125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6" t="s">
        <v>59</v>
      </c>
      <c r="C8" s="77"/>
      <c r="D8" s="78"/>
      <c r="E8" s="1"/>
      <c r="F8" s="1"/>
    </row>
    <row r="9" spans="1:6" ht="15" customHeight="1" x14ac:dyDescent="0.25">
      <c r="A9" s="1"/>
      <c r="B9" s="19" t="s">
        <v>43</v>
      </c>
      <c r="C9" s="35" t="s">
        <v>60</v>
      </c>
      <c r="D9" s="35"/>
      <c r="E9" s="1"/>
      <c r="F9" s="1"/>
    </row>
    <row r="10" spans="1:6" x14ac:dyDescent="0.25">
      <c r="A10" s="1"/>
      <c r="B10" s="30" t="s">
        <v>190</v>
      </c>
      <c r="C10" s="8">
        <v>5327</v>
      </c>
      <c r="D10" s="12" t="s">
        <v>3</v>
      </c>
      <c r="E10" s="1"/>
      <c r="F10" s="1"/>
    </row>
    <row r="11" spans="1:6" ht="26.25" x14ac:dyDescent="0.25">
      <c r="A11" s="1"/>
      <c r="B11" s="108" t="s">
        <v>191</v>
      </c>
      <c r="C11" s="8">
        <v>533314</v>
      </c>
      <c r="D11" s="12" t="s">
        <v>3</v>
      </c>
      <c r="E11" s="1"/>
      <c r="F11" s="1"/>
    </row>
    <row r="12" spans="1:6" x14ac:dyDescent="0.25">
      <c r="A12" s="1"/>
      <c r="B12" s="46" t="s">
        <v>61</v>
      </c>
      <c r="C12" s="10">
        <f>SUM(C10:C11)</f>
        <v>538641</v>
      </c>
      <c r="D12" s="11" t="s">
        <v>3</v>
      </c>
      <c r="E12" s="1"/>
      <c r="F12" s="1"/>
    </row>
    <row r="13" spans="1:6" x14ac:dyDescent="0.25">
      <c r="A13" s="1"/>
      <c r="B13" s="46" t="s">
        <v>62</v>
      </c>
      <c r="C13" s="10">
        <f>C12*(1+'Fane 13. Nøgletal'!C12)^2</f>
        <v>560072.49658569007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76" t="s">
        <v>160</v>
      </c>
      <c r="C16" s="77"/>
      <c r="D16" s="78"/>
      <c r="E16" s="1"/>
      <c r="F16" s="1"/>
    </row>
    <row r="17" spans="1:6" x14ac:dyDescent="0.25">
      <c r="A17" s="1"/>
      <c r="B17" s="30" t="s">
        <v>126</v>
      </c>
      <c r="C17" s="8">
        <v>0</v>
      </c>
      <c r="D17" s="12" t="s">
        <v>3</v>
      </c>
      <c r="E17" s="1"/>
      <c r="F17" s="1"/>
    </row>
    <row r="18" spans="1:6" x14ac:dyDescent="0.25">
      <c r="A18" s="1"/>
      <c r="B18" s="30" t="s">
        <v>127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30" t="s">
        <v>128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30" t="s">
        <v>129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76"/>
      <c r="C21" s="77"/>
      <c r="D21" s="78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76" t="s">
        <v>124</v>
      </c>
      <c r="C24" s="77"/>
      <c r="D24" s="78"/>
      <c r="E24" s="1"/>
      <c r="F24" s="1"/>
    </row>
    <row r="25" spans="1:6" x14ac:dyDescent="0.25">
      <c r="A25" s="1"/>
      <c r="B25" s="30" t="s">
        <v>126</v>
      </c>
      <c r="C25" s="8">
        <v>0</v>
      </c>
      <c r="D25" s="12" t="s">
        <v>3</v>
      </c>
      <c r="E25" s="1"/>
      <c r="F25" s="1"/>
    </row>
    <row r="26" spans="1:6" x14ac:dyDescent="0.25">
      <c r="A26" s="1"/>
      <c r="B26" s="30" t="s">
        <v>127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30" t="s">
        <v>128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30" t="s">
        <v>129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76"/>
      <c r="C29" s="77"/>
      <c r="D29" s="78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T4uzu2BL/zQXZPDZRiOKXjFIwXvIQr+iScO4ipkf1yUCeCPMnjLOxpT8/E/1+7b9Afhrp/ciSabn24+vduckFA==" saltValue="a4S7tBPgINlItxC++M+UY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8" t="s">
        <v>142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6" t="s">
        <v>47</v>
      </c>
      <c r="C6" s="86"/>
      <c r="D6" s="86"/>
      <c r="E6" s="86"/>
      <c r="F6" s="86"/>
      <c r="G6" s="1"/>
    </row>
    <row r="7" spans="1:7" ht="15" customHeight="1" x14ac:dyDescent="0.25">
      <c r="A7" s="1"/>
      <c r="B7" s="87" t="s">
        <v>45</v>
      </c>
      <c r="C7" s="87"/>
      <c r="D7" s="87"/>
      <c r="E7" s="8">
        <v>-246290.70666666667</v>
      </c>
      <c r="F7" s="12" t="s">
        <v>3</v>
      </c>
      <c r="G7" s="1"/>
    </row>
    <row r="8" spans="1:7" ht="15" customHeight="1" x14ac:dyDescent="0.25">
      <c r="A8" s="1"/>
      <c r="B8" s="87" t="s">
        <v>46</v>
      </c>
      <c r="C8" s="87"/>
      <c r="D8" s="87"/>
      <c r="E8" s="8">
        <v>-375608.96618747339</v>
      </c>
      <c r="F8" s="12" t="s">
        <v>3</v>
      </c>
      <c r="G8" s="1"/>
    </row>
    <row r="9" spans="1:7" ht="15" customHeight="1" x14ac:dyDescent="0.25">
      <c r="A9" s="1"/>
      <c r="B9" s="82" t="s">
        <v>157</v>
      </c>
      <c r="C9" s="83"/>
      <c r="D9" s="84"/>
      <c r="E9" s="9">
        <f>SUM(E7:E8)</f>
        <v>-621899.67285414005</v>
      </c>
      <c r="F9" s="15" t="s">
        <v>3</v>
      </c>
      <c r="G9" s="1"/>
    </row>
    <row r="10" spans="1:7" ht="15" customHeight="1" x14ac:dyDescent="0.25">
      <c r="A10" s="1"/>
      <c r="B10" s="76"/>
      <c r="C10" s="77"/>
      <c r="D10" s="77"/>
      <c r="E10" s="77"/>
      <c r="F10" s="78"/>
      <c r="G10" s="1"/>
    </row>
    <row r="11" spans="1:7" ht="27" customHeight="1" x14ac:dyDescent="0.25">
      <c r="A11" s="1"/>
      <c r="B11" s="72" t="s">
        <v>135</v>
      </c>
      <c r="C11" s="72"/>
      <c r="D11" s="72"/>
      <c r="E11" s="72"/>
      <c r="F11" s="72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113</v>
      </c>
      <c r="C14" s="86"/>
      <c r="D14" s="86"/>
      <c r="E14" s="86"/>
      <c r="F14" s="86"/>
      <c r="G14" s="1"/>
    </row>
    <row r="15" spans="1:7" x14ac:dyDescent="0.25">
      <c r="A15" s="1"/>
      <c r="B15" s="87" t="s">
        <v>114</v>
      </c>
      <c r="C15" s="87"/>
      <c r="D15" s="87"/>
      <c r="E15" s="8">
        <v>10465166.095791036</v>
      </c>
      <c r="F15" s="12" t="s">
        <v>3</v>
      </c>
      <c r="G15" s="1"/>
    </row>
    <row r="16" spans="1:7" x14ac:dyDescent="0.25">
      <c r="A16" s="1"/>
      <c r="B16" s="87" t="s">
        <v>115</v>
      </c>
      <c r="C16" s="87"/>
      <c r="D16" s="87"/>
      <c r="E16" s="8">
        <v>9651557</v>
      </c>
      <c r="F16" s="12" t="s">
        <v>3</v>
      </c>
      <c r="G16" s="1"/>
    </row>
    <row r="17" spans="1:7" x14ac:dyDescent="0.25">
      <c r="A17" s="1"/>
      <c r="B17" s="87" t="s">
        <v>44</v>
      </c>
      <c r="C17" s="87"/>
      <c r="D17" s="87"/>
      <c r="E17" s="8">
        <v>0</v>
      </c>
      <c r="F17" s="12" t="s">
        <v>3</v>
      </c>
      <c r="G17" s="1"/>
    </row>
    <row r="18" spans="1:7" x14ac:dyDescent="0.25">
      <c r="A18" s="1"/>
      <c r="B18" s="88" t="s">
        <v>158</v>
      </c>
      <c r="C18" s="88"/>
      <c r="D18" s="88"/>
      <c r="E18" s="9">
        <f>E15-(E16-E17)</f>
        <v>813609.09579103626</v>
      </c>
      <c r="F18" s="15" t="s">
        <v>3</v>
      </c>
      <c r="G18" s="1"/>
    </row>
    <row r="19" spans="1:7" x14ac:dyDescent="0.25">
      <c r="A19" s="1"/>
      <c r="B19" s="89"/>
      <c r="C19" s="90"/>
      <c r="D19" s="90"/>
      <c r="E19" s="90"/>
      <c r="F19" s="91"/>
      <c r="G19" s="1"/>
    </row>
    <row r="20" spans="1:7" ht="28.5" customHeight="1" x14ac:dyDescent="0.25">
      <c r="A20" s="1"/>
      <c r="B20" s="72" t="s">
        <v>134</v>
      </c>
      <c r="C20" s="72"/>
      <c r="D20" s="72"/>
      <c r="E20" s="72"/>
      <c r="F20" s="72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6" t="s">
        <v>67</v>
      </c>
      <c r="C23" s="86"/>
      <c r="D23" s="86"/>
      <c r="E23" s="86"/>
      <c r="F23" s="86"/>
      <c r="G23" s="1"/>
    </row>
    <row r="24" spans="1:7" x14ac:dyDescent="0.25">
      <c r="A24" s="1"/>
      <c r="B24" s="87" t="s">
        <v>68</v>
      </c>
      <c r="C24" s="87"/>
      <c r="D24" s="87"/>
      <c r="E24" s="8">
        <v>9188715.1210132539</v>
      </c>
      <c r="F24" s="12" t="s">
        <v>3</v>
      </c>
      <c r="G24" s="1"/>
    </row>
    <row r="25" spans="1:7" x14ac:dyDescent="0.25">
      <c r="A25" s="1"/>
      <c r="B25" s="87" t="s">
        <v>69</v>
      </c>
      <c r="C25" s="87"/>
      <c r="D25" s="87"/>
      <c r="E25" s="8">
        <v>9227944</v>
      </c>
      <c r="F25" s="12" t="s">
        <v>3</v>
      </c>
      <c r="G25" s="1"/>
    </row>
    <row r="26" spans="1:7" x14ac:dyDescent="0.25">
      <c r="A26" s="1"/>
      <c r="B26" s="87" t="s">
        <v>44</v>
      </c>
      <c r="C26" s="87"/>
      <c r="D26" s="87"/>
      <c r="E26" s="8">
        <v>0</v>
      </c>
      <c r="F26" s="12" t="s">
        <v>3</v>
      </c>
      <c r="G26" s="1"/>
    </row>
    <row r="27" spans="1:7" x14ac:dyDescent="0.25">
      <c r="A27" s="1"/>
      <c r="B27" s="88" t="s">
        <v>158</v>
      </c>
      <c r="C27" s="88"/>
      <c r="D27" s="88"/>
      <c r="E27" s="9">
        <f>E24-(E25-E26)</f>
        <v>-39228.878986746073</v>
      </c>
      <c r="F27" s="15" t="s">
        <v>3</v>
      </c>
      <c r="G27" s="1"/>
    </row>
    <row r="28" spans="1:7" x14ac:dyDescent="0.25">
      <c r="A28" s="1"/>
      <c r="B28" s="76"/>
      <c r="C28" s="77"/>
      <c r="D28" s="77"/>
      <c r="E28" s="77"/>
      <c r="F28" s="78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136</v>
      </c>
      <c r="C31" s="86"/>
      <c r="D31" s="86"/>
      <c r="E31" s="86"/>
      <c r="F31" s="86"/>
      <c r="G31" s="1"/>
    </row>
    <row r="32" spans="1:7" x14ac:dyDescent="0.25">
      <c r="A32" s="1"/>
      <c r="B32" s="71" t="s">
        <v>47</v>
      </c>
      <c r="C32" s="71"/>
      <c r="D32" s="71"/>
      <c r="E32" s="8">
        <f>E9</f>
        <v>-621899.67285414005</v>
      </c>
      <c r="F32" s="12" t="s">
        <v>3</v>
      </c>
      <c r="G32" s="1"/>
    </row>
    <row r="33" spans="1:7" x14ac:dyDescent="0.25">
      <c r="A33" s="1"/>
      <c r="B33" s="71" t="s">
        <v>156</v>
      </c>
      <c r="C33" s="71"/>
      <c r="D33" s="71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1" t="s">
        <v>145</v>
      </c>
      <c r="C34" s="71"/>
      <c r="D34" s="71"/>
      <c r="E34" s="8">
        <v>4</v>
      </c>
      <c r="F34" s="12" t="s">
        <v>27</v>
      </c>
      <c r="G34" s="1"/>
    </row>
    <row r="35" spans="1:7" x14ac:dyDescent="0.25">
      <c r="A35" s="1"/>
      <c r="B35" s="88" t="s">
        <v>177</v>
      </c>
      <c r="C35" s="88"/>
      <c r="D35" s="88"/>
      <c r="E35" s="9">
        <f>SUM(E32:E33)/E34</f>
        <v>-155474.91821353501</v>
      </c>
      <c r="F35" s="15" t="s">
        <v>3</v>
      </c>
      <c r="G35" s="1"/>
    </row>
    <row r="36" spans="1:7" x14ac:dyDescent="0.25">
      <c r="A36" s="1"/>
      <c r="B36" s="86"/>
      <c r="C36" s="86"/>
      <c r="D36" s="86"/>
      <c r="E36" s="86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Ejlbkgg+dBBuKaf085H7Tp6ngxocc5Zr47+/f2KZeYX+CExDyCG92mAo2U4IB8Ku2gtKBgWQuIqd1cE3ghLEg==" saltValue="rt1RSW/yb0LFfohfcJ0wh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8" t="s">
        <v>178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110</v>
      </c>
      <c r="C9" s="86"/>
      <c r="D9" s="86"/>
      <c r="E9" s="86"/>
      <c r="F9" s="86"/>
      <c r="G9" s="1"/>
    </row>
    <row r="10" spans="1:7" x14ac:dyDescent="0.25">
      <c r="A10" s="1"/>
      <c r="B10" s="72" t="s">
        <v>131</v>
      </c>
      <c r="C10" s="72"/>
      <c r="D10" s="72"/>
      <c r="E10" s="7">
        <v>0</v>
      </c>
      <c r="F10" s="40" t="s">
        <v>3</v>
      </c>
      <c r="G10" s="1"/>
    </row>
    <row r="11" spans="1:7" x14ac:dyDescent="0.25">
      <c r="A11" s="1"/>
      <c r="B11" s="87" t="s">
        <v>132</v>
      </c>
      <c r="C11" s="87"/>
      <c r="D11" s="87"/>
      <c r="E11" s="7">
        <v>0</v>
      </c>
      <c r="F11" s="40" t="s">
        <v>3</v>
      </c>
      <c r="G11" s="1"/>
    </row>
    <row r="12" spans="1:7" x14ac:dyDescent="0.25">
      <c r="A12" s="1"/>
      <c r="B12" s="88" t="s">
        <v>133</v>
      </c>
      <c r="C12" s="88"/>
      <c r="D12" s="88"/>
      <c r="E12" s="9">
        <f>E11-E10</f>
        <v>0</v>
      </c>
      <c r="F12" s="35" t="s">
        <v>3</v>
      </c>
      <c r="G12" s="1"/>
    </row>
    <row r="13" spans="1:7" x14ac:dyDescent="0.25">
      <c r="A13" s="1"/>
      <c r="B13" s="86" t="s">
        <v>111</v>
      </c>
      <c r="C13" s="86"/>
      <c r="D13" s="86"/>
      <c r="E13" s="86"/>
      <c r="F13" s="86"/>
      <c r="G13" s="1"/>
    </row>
    <row r="14" spans="1:7" x14ac:dyDescent="0.25">
      <c r="A14" s="1"/>
      <c r="B14" s="87" t="s">
        <v>154</v>
      </c>
      <c r="C14" s="87"/>
      <c r="D14" s="87"/>
      <c r="E14" s="8">
        <v>0</v>
      </c>
      <c r="F14" s="40" t="s">
        <v>3</v>
      </c>
      <c r="G14" s="1"/>
    </row>
    <row r="15" spans="1:7" x14ac:dyDescent="0.25">
      <c r="A15" s="1"/>
      <c r="B15" s="87" t="s">
        <v>155</v>
      </c>
      <c r="C15" s="87"/>
      <c r="D15" s="87"/>
      <c r="E15" s="8">
        <v>0</v>
      </c>
      <c r="F15" s="40" t="s">
        <v>3</v>
      </c>
      <c r="G15" s="1"/>
    </row>
    <row r="16" spans="1:7" x14ac:dyDescent="0.25">
      <c r="A16" s="1"/>
      <c r="B16" s="88" t="s">
        <v>133</v>
      </c>
      <c r="C16" s="88"/>
      <c r="D16" s="88"/>
      <c r="E16" s="9">
        <f>E15-E14</f>
        <v>0</v>
      </c>
      <c r="F16" s="35" t="s">
        <v>3</v>
      </c>
      <c r="G16" s="1"/>
    </row>
    <row r="17" spans="1:7" ht="15" customHeight="1" x14ac:dyDescent="0.25">
      <c r="A17" s="1"/>
      <c r="B17" s="86" t="s">
        <v>106</v>
      </c>
      <c r="C17" s="86"/>
      <c r="D17" s="86"/>
      <c r="E17" s="86"/>
      <c r="F17" s="86"/>
      <c r="G17" s="1"/>
    </row>
    <row r="18" spans="1:7" ht="28.15" customHeight="1" x14ac:dyDescent="0.25">
      <c r="A18" s="1"/>
      <c r="B18" s="79" t="s">
        <v>184</v>
      </c>
      <c r="C18" s="80"/>
      <c r="D18" s="81"/>
      <c r="E18" s="8">
        <v>0</v>
      </c>
      <c r="F18" s="40" t="s">
        <v>3</v>
      </c>
      <c r="G18" s="1"/>
    </row>
    <row r="19" spans="1:7" ht="28.5" customHeight="1" x14ac:dyDescent="0.25">
      <c r="A19" s="1"/>
      <c r="B19" s="73" t="s">
        <v>112</v>
      </c>
      <c r="C19" s="73"/>
      <c r="D19" s="73"/>
      <c r="E19" s="9">
        <f>IF('Fane 3. Omkostninger i ØR2019'!E23-'Fane 3. Omkostninger i ØR2019'!E23/(1+'Fane 13. Nøgletal'!C11)^2+E18&lt;0,-('Fane 3. Omkostninger i ØR2019'!E23-'Fane 3. Omkostninger i ØR2019'!E23/(1+'Fane 13. Nøgletal'!C11)^2+E18),0)</f>
        <v>0</v>
      </c>
      <c r="F19" s="35" t="s">
        <v>3</v>
      </c>
      <c r="G19" s="1"/>
    </row>
    <row r="20" spans="1:7" x14ac:dyDescent="0.25">
      <c r="A20" s="1"/>
      <c r="B20" s="38" t="s">
        <v>123</v>
      </c>
      <c r="C20" s="38"/>
      <c r="D20" s="38"/>
      <c r="E20" s="10">
        <f>E12+E16+E19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pdps4RdcxDqxFf0mVpks/eSHBY3UWtH7+FTvIIGEbee+ADpdNRm5gQ70vQSKOPGsvjKhUy+HhGG9UBGZnSSgQ==" saltValue="ZhWChSupHqLKx3Xwcd2cr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2019-08-20T15:39:33Z</dcterms:modified>
</cp:coreProperties>
</file>