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HOFOR SPILDEVAND VALLENSBÆK AS (S098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Periodevise driftsomk." sheetId="20" r:id="rId13"/>
    <sheet name="Fane 10. Tilknyttet aktivitet" sheetId="29" r:id="rId14"/>
    <sheet name="Fane 11. Bortfald" sheetId="21" r:id="rId15"/>
    <sheet name="Fane 12. Hist. over-underdæk." sheetId="10" r:id="rId16"/>
    <sheet name="Fane 13. Nøgletal" sheetId="26" r:id="rId17"/>
  </sheets>
  <calcPr calcId="162913"/>
</workbook>
</file>

<file path=xl/calcChain.xml><?xml version="1.0" encoding="utf-8"?>
<calcChain xmlns="http://schemas.openxmlformats.org/spreadsheetml/2006/main">
  <c r="E21" i="27" l="1"/>
  <c r="E19" i="40" l="1"/>
  <c r="E16" i="40" l="1"/>
  <c r="E12" i="40"/>
  <c r="E11" i="11" l="1"/>
  <c r="E10" i="11"/>
  <c r="E11" i="2" l="1"/>
  <c r="E10" i="2"/>
  <c r="E13" i="27"/>
  <c r="E14" i="27" s="1"/>
  <c r="E18" i="27"/>
  <c r="E19" i="27" l="1"/>
  <c r="E10" i="20" l="1"/>
  <c r="E11" i="20" s="1"/>
  <c r="E25" i="20" l="1"/>
  <c r="E20" i="20"/>
  <c r="E15" i="20"/>
  <c r="E20" i="40" l="1"/>
  <c r="E29" i="2" s="1"/>
  <c r="E21" i="20" l="1"/>
  <c r="E16" i="22" s="1"/>
  <c r="E16" i="20"/>
  <c r="E18" i="15" s="1"/>
  <c r="E21" i="2"/>
  <c r="E26" i="20" l="1"/>
  <c r="E16" i="23" s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11" i="15" l="1"/>
  <c r="E9" i="23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8" i="23" s="1"/>
  <c r="E34" i="39"/>
  <c r="E19" i="23" s="1"/>
  <c r="C27" i="39"/>
  <c r="E18" i="22" s="1"/>
  <c r="E27" i="39"/>
  <c r="E19" i="22" s="1"/>
  <c r="E20" i="39"/>
  <c r="E21" i="15" s="1"/>
  <c r="C20" i="39"/>
  <c r="E20" i="15" s="1"/>
  <c r="E20" i="23" l="1"/>
  <c r="E13" i="39"/>
  <c r="E24" i="2" s="1"/>
  <c r="E20" i="22"/>
  <c r="C13" i="39"/>
  <c r="E23" i="2" s="1"/>
  <c r="G12" i="10"/>
  <c r="G14" i="10" s="1"/>
  <c r="E22" i="15" l="1"/>
  <c r="E25" i="2"/>
  <c r="E15" i="27" l="1"/>
  <c r="E9" i="2" l="1"/>
  <c r="E28" i="27"/>
  <c r="E27" i="32"/>
  <c r="E33" i="32" s="1"/>
  <c r="E35" i="32" s="1"/>
  <c r="E24" i="15" l="1"/>
  <c r="E22" i="22" s="1"/>
  <c r="E22" i="23" l="1"/>
  <c r="F12" i="11"/>
  <c r="C10" i="37" s="1"/>
  <c r="C12" i="37" s="1"/>
  <c r="C13" i="37" s="1"/>
  <c r="G12" i="11"/>
  <c r="E11" i="21" l="1"/>
  <c r="C11" i="21"/>
  <c r="E11" i="29"/>
  <c r="C11" i="29"/>
  <c r="C15" i="19"/>
  <c r="C16" i="19" s="1"/>
  <c r="C12" i="21" l="1"/>
  <c r="E12" i="21"/>
  <c r="C12" i="29"/>
  <c r="E12" i="29"/>
  <c r="E14" i="23"/>
  <c r="E14" i="22"/>
  <c r="E19" i="2"/>
  <c r="E16" i="15"/>
  <c r="E14" i="2" l="1"/>
  <c r="E13" i="2"/>
  <c r="E12" i="11" l="1"/>
  <c r="E10" i="37" s="1"/>
  <c r="E12" i="37" s="1"/>
  <c r="E13" i="37" s="1"/>
  <c r="E12" i="2" s="1"/>
  <c r="E15" i="2" s="1"/>
  <c r="E27" i="2"/>
  <c r="E16" i="2" l="1"/>
  <c r="E17" i="2" s="1"/>
  <c r="E30" i="2" l="1"/>
  <c r="E9" i="15"/>
  <c r="E12" i="15" s="1"/>
  <c r="E13" i="15" s="1"/>
  <c r="E14" i="15" s="1"/>
  <c r="E25" i="15" l="1"/>
  <c r="E8" i="22"/>
  <c r="E10" i="22" s="1"/>
  <c r="E11" i="22" l="1"/>
  <c r="E12" i="22" s="1"/>
  <c r="E23" i="22" s="1"/>
  <c r="E8" i="23" l="1"/>
  <c r="E10" i="23" s="1"/>
  <c r="E11" i="23" l="1"/>
  <c r="E12" i="23" s="1"/>
  <c r="E23" i="23" s="1"/>
</calcChain>
</file>

<file path=xl/sharedStrings.xml><?xml version="1.0" encoding="utf-8"?>
<sst xmlns="http://schemas.openxmlformats.org/spreadsheetml/2006/main" count="518" uniqueCount="197">
  <si>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</si>
  <si>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</si>
  <si>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</si>
  <si>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</si>
  <si>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</si>
  <si>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</si>
  <si>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</si>
  <si>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</si>
  <si>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</si>
  <si>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</si>
  <si>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</si>
  <si>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</si>
  <si>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</si>
  <si>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</si>
  <si>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</si>
  <si>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</si>
  <si>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</si>
  <si>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</si>
  <si>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</si>
  <si>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</si>
  <si>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</si>
  <si>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</si>
  <si>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</si>
  <si>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</si>
  <si>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</si>
  <si>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</si>
  <si>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</si>
  <si>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</si>
  <si>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</si>
  <si>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</si>
  <si>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</si>
  <si>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</si>
  <si>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</si>
  <si>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</si>
  <si>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</si>
  <si>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</si>
  <si>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</si>
  <si>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</si>
  <si>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</si>
  <si>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</si>
  <si>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</si>
  <si>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</si>
  <si>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</si>
  <si>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</si>
  <si>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</si>
  <si>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</si>
  <si>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</si>
  <si>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</si>
  <si>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</si>
  <si>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</si>
  <si>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</si>
  <si>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</si>
  <si>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</si>
  <si>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</si>
  <si>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Fane 13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</si>
  <si>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</si>
  <si>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</si>
  <si>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</si>
  <si>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</si>
  <si>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</si>
  <si>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</si>
  <si>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</si>
  <si>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</si>
  <si>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</si>
  <si>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</si>
  <si>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</si>
  <si>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</si>
  <si>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</si>
  <si>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</si>
  <si>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</si>
  <si>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</si>
  <si>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</si>
  <si>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</si>
  <si>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</si>
  <si>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</si>
  <si>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</si>
  <si>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</si>
  <si>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</si>
  <si>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</si>
  <si>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</si>
  <si>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</si>
  <si>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</si>
  <si>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</si>
  <si>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</si>
  <si>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</si>
  <si>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</si>
  <si>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</si>
  <si>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Periodevise driftsomkostninger i alt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</si>
  <si>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</si>
  <si>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</si>
  <si>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</si>
  <si>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</si>
  <si>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</si>
  <si>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Periodevise driftsomkostninger i alt i 2018-prisniveau</t>
  </si>
  <si>
    <t>Periodevise driftsomkostninger til de økonomiske rammer for 2020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</si>
  <si>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</si>
  <si>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</si>
  <si>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</si>
  <si>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2020-prisniveau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</si>
  <si>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</si>
  <si>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</si>
  <si>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</si>
  <si>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</si>
  <si>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</si>
  <si>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</si>
  <si>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</si>
  <si>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</si>
  <si>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</si>
  <si>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</si>
  <si>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</si>
  <si>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periodevise driftsomkostninger i de økonomiske rammer for 2018</t>
  </si>
  <si>
    <t>Korrektion af tidligere godkendte omkostninger til medfinansiering af klimatilpasningsprojekter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</si>
  <si>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</si>
  <si>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</si>
  <si>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</si>
  <si>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</si>
  <si>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</si>
  <si>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</si>
  <si>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</si>
  <si>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</si>
  <si>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</si>
  <si>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</si>
  <si>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</si>
  <si>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</si>
  <si>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Tillæg til tilbagebetaling af vejbidrag</t>
  </si>
  <si>
    <t>Fane 4: Ikke-påvirkelige omkostninger</t>
  </si>
  <si>
    <t>Tillæg til den økonomiske ramme for 2020</t>
  </si>
  <si>
    <t>Tillæg til den økonomiske ramme for 2021</t>
  </si>
  <si>
    <t>Tillæg til den økonomiske ramme for 2022</t>
  </si>
  <si>
    <t>Tillæg til den økonomiske ramme for 2023</t>
  </si>
  <si>
    <t>Tidligere tilknyttet aktivitet</t>
  </si>
  <si>
    <t>Samlede tillæg til periodevise driftsomkostninger jf. indmeldte oprensningsplan</t>
  </si>
  <si>
    <t>Faktisk periodevis driftsomkostning i 2018</t>
  </si>
  <si>
    <t>Difference (Korrektion)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</si>
  <si>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</si>
  <si>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</si>
  <si>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</si>
  <si>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</si>
  <si>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</si>
  <si>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</si>
  <si>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</si>
  <si>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13: Nøgletal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</si>
  <si>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</si>
  <si>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</si>
  <si>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</si>
  <si>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</si>
  <si>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10: Tilknyttet aktivitet under hovedvirksomheden</t>
  </si>
  <si>
    <t>Fane 11: Bortfald eller nedsættelse af omkostninger til mål, medfinansiering eller udvidelse</t>
  </si>
  <si>
    <t>Fane 12: Historisk over- eller underdækning</t>
  </si>
  <si>
    <t>Fane 6</t>
  </si>
  <si>
    <t>Fane 8.1</t>
  </si>
  <si>
    <t>Fane 8.2</t>
  </si>
  <si>
    <t>Fane 11</t>
  </si>
  <si>
    <t>Nøgletal</t>
  </si>
  <si>
    <t>Tidligere godkendt tillæg indregnet i den økonomiske ramme for 2018</t>
  </si>
  <si>
    <t>Faktisk omkostning til medfinansiering af klimatilpasningsprojekter i 2018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</si>
  <si>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</si>
  <si>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</si>
  <si>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</si>
  <si>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</si>
  <si>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Tillæg til medfinansieringsprojekter godkendt under prisloftsbekendtgørelsen</t>
  </si>
  <si>
    <t>Prisudvikling til brug for ØR2017-2020</t>
  </si>
  <si>
    <t xml:space="preserve">Effektiviseringskrav </t>
  </si>
  <si>
    <t>Fane 9: Periodevise driftsomkostninger givet under prisloftsbekendtgørelsen</t>
  </si>
  <si>
    <t>Periodevise driftsomkostninger i den økonomiske ramme for 2019</t>
  </si>
  <si>
    <t>Periodevise driftsomkostninger i alt i 2017-prisniveau</t>
  </si>
  <si>
    <t>Fane 3: Videreførte omkostninger fra den økonomiske ramme for 2019</t>
  </si>
  <si>
    <t>Effektiviseringskrav af periodevise driftsomkostninger</t>
  </si>
  <si>
    <t>Periodevise driftsomkostninger i den økonomiske ramme for 2019 i alt</t>
  </si>
  <si>
    <t xml:space="preserve"> - Heraf nye omkostninger i ØR18</t>
  </si>
  <si>
    <t>Nye tillæg</t>
  </si>
  <si>
    <t>Bortfald eller nedsættelse af omkostninger</t>
  </si>
  <si>
    <t xml:space="preserve"> - Heraf nye omkostninger i ØR19</t>
  </si>
  <si>
    <t>Fane 2.4: Samlet økonomisk ramme for 2023</t>
  </si>
  <si>
    <t>Fane 2.3: Samlet økonomisk ramme for 2022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</si>
  <si>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</si>
  <si>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</si>
  <si>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</si>
  <si>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</si>
  <si>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</si>
  <si>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</si>
  <si>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</si>
  <si>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</si>
  <si>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</si>
  <si>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Prisfremskrivning til 2017-prisniveau af korrektion af periodevise driftsomkostninger i de økonomiske rammer for 2019</t>
  </si>
  <si>
    <t>Fane 3</t>
  </si>
  <si>
    <t>Pumpestationer i brønde (&lt; 6,25 m2), SRO</t>
  </si>
  <si>
    <t>Software</t>
  </si>
  <si>
    <t>Anlægsprojekter igangsat senest 1. marts 2016</t>
  </si>
  <si>
    <t>Afgift til Forsyningssekretariatet</t>
  </si>
  <si>
    <t>Køb af ydelser og produkter fra andre vandselskaber reguleret af vandsektorloven</t>
  </si>
  <si>
    <t>Selskabsskat</t>
  </si>
  <si>
    <t>Ejendomsskatter</t>
  </si>
  <si>
    <t>Tjenestemandspensioner</t>
  </si>
  <si>
    <t>Oprensning af Lykkekrogen</t>
  </si>
  <si>
    <t>Ingen engangstillæg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</si>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</sst>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1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3" fontId="8" fillId="0" borderId="1" xfId="0" applyNumberFormat="1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/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0" fontId="8" fillId="0" borderId="1" xfId="0" applyNumberFormat="1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3" t="s">
        <v>4</v>
      </c>
      <c r="E6" s="63"/>
      <c r="F6" s="63"/>
      <c r="G6" s="63"/>
      <c r="H6" s="3"/>
      <c r="I6" s="1"/>
    </row>
    <row r="7" spans="1:9" ht="15" customHeight="1" x14ac:dyDescent="0.25">
      <c r="A7" s="1"/>
      <c r="B7" s="1"/>
      <c r="C7" s="3"/>
      <c r="D7" s="63"/>
      <c r="E7" s="63"/>
      <c r="F7" s="63"/>
      <c r="G7" s="63"/>
      <c r="H7" s="3"/>
      <c r="I7" s="1"/>
    </row>
    <row r="8" spans="1:9" ht="15.75" x14ac:dyDescent="0.25">
      <c r="A8" s="1"/>
      <c r="B8" s="1"/>
      <c r="C8" s="4"/>
      <c r="D8" s="65" t="s">
        <v>138</v>
      </c>
      <c r="E8" s="65"/>
      <c r="F8" s="65"/>
      <c r="G8" s="6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4" t="s">
        <v>5</v>
      </c>
      <c r="E11" s="64"/>
      <c r="F11" s="64"/>
      <c r="G11" s="6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0" t="s">
        <v>49</v>
      </c>
      <c r="E13" s="61"/>
      <c r="F13" s="61"/>
      <c r="G13" s="62"/>
      <c r="H13" s="1"/>
      <c r="I13" s="1"/>
    </row>
    <row r="14" spans="1:9" x14ac:dyDescent="0.25">
      <c r="A14" s="1"/>
      <c r="B14" s="1"/>
      <c r="C14" s="6" t="s">
        <v>22</v>
      </c>
      <c r="D14" s="60" t="s">
        <v>139</v>
      </c>
      <c r="E14" s="61"/>
      <c r="F14" s="61"/>
      <c r="G14" s="62"/>
      <c r="H14" s="1"/>
      <c r="I14" s="1"/>
    </row>
    <row r="15" spans="1:9" x14ac:dyDescent="0.25">
      <c r="A15" s="1"/>
      <c r="B15" s="1"/>
      <c r="C15" s="6" t="s">
        <v>48</v>
      </c>
      <c r="D15" s="60" t="s">
        <v>76</v>
      </c>
      <c r="E15" s="61"/>
      <c r="F15" s="61"/>
      <c r="G15" s="62"/>
      <c r="H15" s="1"/>
      <c r="I15" s="1"/>
    </row>
    <row r="16" spans="1:9" x14ac:dyDescent="0.25">
      <c r="A16" s="1"/>
      <c r="B16" s="1"/>
      <c r="C16" s="6" t="s">
        <v>50</v>
      </c>
      <c r="D16" s="60" t="s">
        <v>77</v>
      </c>
      <c r="E16" s="61"/>
      <c r="F16" s="61"/>
      <c r="G16" s="62"/>
      <c r="H16" s="1"/>
      <c r="I16" s="1"/>
    </row>
    <row r="17" spans="1:9" x14ac:dyDescent="0.25">
      <c r="A17" s="1"/>
      <c r="B17" s="1"/>
      <c r="C17" s="6" t="s">
        <v>185</v>
      </c>
      <c r="D17" s="60" t="s">
        <v>58</v>
      </c>
      <c r="E17" s="61"/>
      <c r="F17" s="61"/>
      <c r="G17" s="62"/>
      <c r="H17" s="1"/>
      <c r="I17" s="1"/>
    </row>
    <row r="18" spans="1:9" x14ac:dyDescent="0.25">
      <c r="A18" s="1"/>
      <c r="B18" s="1"/>
      <c r="C18" s="6" t="s">
        <v>7</v>
      </c>
      <c r="D18" s="54" t="s">
        <v>16</v>
      </c>
      <c r="E18" s="55"/>
      <c r="F18" s="55"/>
      <c r="G18" s="56"/>
      <c r="H18" s="1"/>
      <c r="I18" s="1"/>
    </row>
    <row r="19" spans="1:9" x14ac:dyDescent="0.25">
      <c r="A19" s="1"/>
      <c r="B19" s="1"/>
      <c r="C19" s="6" t="s">
        <v>8</v>
      </c>
      <c r="D19" s="48" t="s">
        <v>109</v>
      </c>
      <c r="E19" s="49"/>
      <c r="F19" s="49"/>
      <c r="G19" s="50"/>
      <c r="H19" s="1"/>
      <c r="I19" s="1"/>
    </row>
    <row r="20" spans="1:9" x14ac:dyDescent="0.25">
      <c r="A20" s="1"/>
      <c r="B20" s="1"/>
      <c r="C20" s="6" t="s">
        <v>149</v>
      </c>
      <c r="D20" s="48" t="s">
        <v>175</v>
      </c>
      <c r="E20" s="49"/>
      <c r="F20" s="49"/>
      <c r="G20" s="50"/>
      <c r="H20" s="1"/>
      <c r="I20" s="1"/>
    </row>
    <row r="21" spans="1:9" x14ac:dyDescent="0.25">
      <c r="A21" s="1"/>
      <c r="B21" s="1"/>
      <c r="C21" s="6" t="s">
        <v>83</v>
      </c>
      <c r="D21" s="48" t="s">
        <v>51</v>
      </c>
      <c r="E21" s="49"/>
      <c r="F21" s="49"/>
      <c r="G21" s="50"/>
      <c r="H21" s="1"/>
      <c r="I21" s="1"/>
    </row>
    <row r="22" spans="1:9" x14ac:dyDescent="0.25">
      <c r="A22" s="1"/>
      <c r="B22" s="1"/>
      <c r="C22" s="6" t="s">
        <v>150</v>
      </c>
      <c r="D22" s="48" t="s">
        <v>84</v>
      </c>
      <c r="E22" s="49"/>
      <c r="F22" s="49"/>
      <c r="G22" s="50"/>
      <c r="H22" s="1"/>
      <c r="I22" s="1"/>
    </row>
    <row r="23" spans="1:9" x14ac:dyDescent="0.25">
      <c r="A23" s="1"/>
      <c r="B23" s="1"/>
      <c r="C23" s="6" t="s">
        <v>151</v>
      </c>
      <c r="D23" s="48" t="s">
        <v>85</v>
      </c>
      <c r="E23" s="49"/>
      <c r="F23" s="49"/>
      <c r="G23" s="50"/>
      <c r="H23" s="1"/>
      <c r="I23" s="1"/>
    </row>
    <row r="24" spans="1:9" x14ac:dyDescent="0.25">
      <c r="A24" s="1"/>
      <c r="B24" s="1"/>
      <c r="C24" s="6" t="s">
        <v>9</v>
      </c>
      <c r="D24" s="48" t="s">
        <v>86</v>
      </c>
      <c r="E24" s="49"/>
      <c r="F24" s="49"/>
      <c r="G24" s="50"/>
      <c r="H24" s="1"/>
      <c r="I24" s="1"/>
    </row>
    <row r="25" spans="1:9" x14ac:dyDescent="0.25">
      <c r="A25" s="1"/>
      <c r="B25" s="1"/>
      <c r="C25" s="6" t="s">
        <v>108</v>
      </c>
      <c r="D25" s="48" t="s">
        <v>52</v>
      </c>
      <c r="E25" s="49"/>
      <c r="F25" s="49"/>
      <c r="G25" s="50"/>
      <c r="H25" s="1"/>
      <c r="I25" s="1"/>
    </row>
    <row r="26" spans="1:9" x14ac:dyDescent="0.25">
      <c r="A26" s="1"/>
      <c r="B26" s="1"/>
      <c r="C26" s="6" t="s">
        <v>152</v>
      </c>
      <c r="D26" s="48" t="s">
        <v>53</v>
      </c>
      <c r="E26" s="49"/>
      <c r="F26" s="49"/>
      <c r="G26" s="50"/>
      <c r="H26" s="1"/>
      <c r="I26" s="1"/>
    </row>
    <row r="27" spans="1:9" x14ac:dyDescent="0.25">
      <c r="A27" s="1"/>
      <c r="B27" s="1"/>
      <c r="C27" s="6" t="s">
        <v>21</v>
      </c>
      <c r="D27" s="57" t="s">
        <v>10</v>
      </c>
      <c r="E27" s="58"/>
      <c r="F27" s="58"/>
      <c r="G27" s="59"/>
      <c r="H27" s="1"/>
      <c r="I27" s="1"/>
    </row>
    <row r="28" spans="1:9" x14ac:dyDescent="0.25">
      <c r="A28" s="1"/>
      <c r="B28" s="1"/>
      <c r="C28" s="6" t="s">
        <v>54</v>
      </c>
      <c r="D28" s="51" t="s">
        <v>153</v>
      </c>
      <c r="E28" s="52"/>
      <c r="F28" s="52"/>
      <c r="G28" s="5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9AqrJJK3buGb07a3FOMgLSak2yuz8CNimVb1xPif9brxI9ZCV9pbB6F4upZAqxgYENQiXBjdN1obp87qN3B5Nw==" saltValue="8IuuZ9zO7Y4ENPhHq5H1Wg==" spinCount="100000" sheet="1" objects="1" scenarios="1"/>
  <mergeCells count="19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6:G26"/>
    <mergeCell ref="D28:G28"/>
    <mergeCell ref="D18:G18"/>
    <mergeCell ref="D21:G21"/>
    <mergeCell ref="D22:G22"/>
    <mergeCell ref="D25:G25"/>
    <mergeCell ref="D23:G23"/>
    <mergeCell ref="D24:G24"/>
    <mergeCell ref="D20:G20"/>
    <mergeCell ref="D27:G27"/>
  </mergeCells>
  <hyperlinks>
    <hyperlink ref="D14:G14" location="'Fane 2.2. Økonomisk ramme 2021'!A1" display="Samlet økonomisk ramme for 2021"/>
    <hyperlink ref="D22:G22" location="'Fane 8.1. Varige tillæg'!A1" display="Varige tillæg"/>
    <hyperlink ref="D25:G25" location="'Fane 10. Tilknyttet aktivitet'!A1" display="Tilknyttet aktivitet"/>
    <hyperlink ref="D26:G26" location="'Fane 11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8:G28" location="'Fane 13. Nøgletal'!A1" display="Nøgletal"/>
    <hyperlink ref="D23:G23" location="'Fane 8.2. Engangstillæg'!A1" display="Engangstillæg"/>
    <hyperlink ref="D24:G24" location="'Fane 9. Periodevise driftsomk.'!A1" display="Periodevise driftsomkostninger"/>
    <hyperlink ref="D27:G27" location="'Fane 12. Hist. over-underdæk.'!A1" display="Historisk over- eller underdækning"/>
    <hyperlink ref="D20" location="'Fane 6. Korrektioner'!A1" display="Korrektion af tidligere rammer"/>
    <hyperlink ref="D17" location="'Fane 3. Omkostninger i ØR2019'!A1" display="Omkostninger i ØR2019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179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6" t="s">
        <v>180</v>
      </c>
      <c r="C8" s="77"/>
      <c r="D8" s="77"/>
      <c r="E8" s="77"/>
      <c r="F8" s="77"/>
      <c r="G8" s="77"/>
      <c r="H8" s="78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5" t="s">
        <v>2</v>
      </c>
      <c r="F9" s="35" t="s">
        <v>15</v>
      </c>
      <c r="G9" s="35" t="s">
        <v>41</v>
      </c>
      <c r="H9" s="45"/>
      <c r="I9" s="1"/>
    </row>
    <row r="10" spans="1:9" ht="26.25" x14ac:dyDescent="0.25">
      <c r="A10" s="1"/>
      <c r="B10" s="43" t="s">
        <v>186</v>
      </c>
      <c r="C10" s="109">
        <v>10</v>
      </c>
      <c r="D10" s="8">
        <v>1978184</v>
      </c>
      <c r="E10" s="8">
        <f>IFERROR(D10/C10,0)</f>
        <v>197818.4</v>
      </c>
      <c r="F10" s="8">
        <v>0</v>
      </c>
      <c r="G10" s="8">
        <v>3858</v>
      </c>
      <c r="H10" s="12" t="s">
        <v>3</v>
      </c>
      <c r="I10" s="1"/>
    </row>
    <row r="11" spans="1:9" x14ac:dyDescent="0.25">
      <c r="A11" s="1"/>
      <c r="B11" s="43" t="s">
        <v>187</v>
      </c>
      <c r="C11" s="109">
        <v>5</v>
      </c>
      <c r="D11" s="8">
        <v>661752</v>
      </c>
      <c r="E11" s="8">
        <f t="shared" ref="E11" si="0">IFERROR(D11/C11,0)</f>
        <v>132350.39999999999</v>
      </c>
      <c r="F11" s="8">
        <v>0</v>
      </c>
      <c r="G11" s="8">
        <v>1290</v>
      </c>
      <c r="H11" s="12" t="s">
        <v>3</v>
      </c>
      <c r="I11" s="1"/>
    </row>
    <row r="12" spans="1:9" x14ac:dyDescent="0.25">
      <c r="A12" s="1"/>
      <c r="B12" s="76" t="s">
        <v>181</v>
      </c>
      <c r="C12" s="77"/>
      <c r="D12" s="78"/>
      <c r="E12" s="10">
        <f>SUM(E10:E11)</f>
        <v>330168.8</v>
      </c>
      <c r="F12" s="10">
        <f>SUM(F10:F11)</f>
        <v>0</v>
      </c>
      <c r="G12" s="10">
        <f>SUM(G10:G11)</f>
        <v>5148</v>
      </c>
      <c r="H12" s="11" t="s">
        <v>3</v>
      </c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yQnOZaCqc2OoQsOW4b4dXo/6HoTiCb8Ctq5sgO5V8W5hpelGbllXJ7mUN2MAMSCP6QPAoCmTquo/WL1rTjbh1Q==" saltValue="Tl6WoyBBlSMR6DEX23ji7g==" spinCount="100000" sheet="1" objects="1" scenarios="1"/>
  <mergeCells count="3">
    <mergeCell ref="B3:H4"/>
    <mergeCell ref="B12:D12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143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80</v>
      </c>
      <c r="C8" s="24"/>
      <c r="D8" s="24"/>
      <c r="E8" s="24"/>
      <c r="F8" s="47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188</v>
      </c>
      <c r="C10" s="21">
        <f>'Fane 7. Anlægsprojekter'!F12</f>
        <v>0</v>
      </c>
      <c r="D10" s="12" t="s">
        <v>3</v>
      </c>
      <c r="E10" s="8">
        <f>SUM('Fane 7. Anlægsprojekter'!E12,'Fane 7. Anlægsprojekter'!G12)</f>
        <v>335316.8</v>
      </c>
      <c r="F10" s="12" t="s">
        <v>3</v>
      </c>
      <c r="G10" s="1"/>
    </row>
    <row r="11" spans="1:7" x14ac:dyDescent="0.25">
      <c r="A11" s="1"/>
      <c r="B11" s="110" t="s">
        <v>194</v>
      </c>
      <c r="C11" s="21">
        <v>10381</v>
      </c>
      <c r="D11" s="12" t="s">
        <v>3</v>
      </c>
      <c r="E11" s="8">
        <v>0</v>
      </c>
      <c r="F11" s="12" t="s">
        <v>3</v>
      </c>
      <c r="G11" s="1"/>
    </row>
    <row r="12" spans="1:7" x14ac:dyDescent="0.25">
      <c r="A12" s="1"/>
      <c r="B12" s="46" t="s">
        <v>55</v>
      </c>
      <c r="C12" s="10">
        <f>SUM(C10:C11)</f>
        <v>10381</v>
      </c>
      <c r="D12" s="11" t="s">
        <v>3</v>
      </c>
      <c r="E12" s="10">
        <f>SUM(E10:E11)</f>
        <v>335316.8</v>
      </c>
      <c r="F12" s="11" t="s">
        <v>3</v>
      </c>
      <c r="G12" s="1"/>
    </row>
    <row r="13" spans="1:7" x14ac:dyDescent="0.25">
      <c r="A13" s="1"/>
      <c r="B13" s="46" t="s">
        <v>64</v>
      </c>
      <c r="C13" s="10">
        <f>C12*(1+'Fane 13. Nøgletal'!C12)</f>
        <v>10585.5057</v>
      </c>
      <c r="D13" s="11" t="s">
        <v>3</v>
      </c>
      <c r="E13" s="10">
        <f>E12*(1+'Fane 13. Nøgletal'!C12)</f>
        <v>341922.54096000001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algorithmName="SHA-512" hashValue="rfyAb/ljCX4CPPeQ7JHwT6ZIwEGh+8/4lksQCpgLxtYUuDcgQS5SnQmFsHnPO6ZsEOCZst64gUw8Eo19/0E4rw==" saltValue="37dXEJcMUvl5u4FGI6FpN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144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6" t="s">
        <v>116</v>
      </c>
      <c r="C8" s="77"/>
      <c r="D8" s="77"/>
      <c r="E8" s="77"/>
      <c r="F8" s="78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194</v>
      </c>
      <c r="C10" s="21">
        <v>207612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120</v>
      </c>
      <c r="C11" s="10">
        <f>SUM(C10:C10)</f>
        <v>207612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137</v>
      </c>
      <c r="C12" s="28">
        <f>-C11*'Fane 13. Nøgletal'!C17</f>
        <v>-3529.4040000000005</v>
      </c>
      <c r="D12" s="29" t="s">
        <v>3</v>
      </c>
      <c r="E12" s="28">
        <f>-E11*'Fane 13. Nøgletal'!C17</f>
        <v>0</v>
      </c>
      <c r="F12" s="29" t="s">
        <v>3</v>
      </c>
      <c r="G12" s="1"/>
    </row>
    <row r="13" spans="1:7" x14ac:dyDescent="0.25">
      <c r="A13" s="1"/>
      <c r="B13" s="46" t="s">
        <v>121</v>
      </c>
      <c r="C13" s="10">
        <f>SUM(C11:C12)*(1+'Fane 13. Nøgletal'!C12)^2</f>
        <v>212202.65269708165</v>
      </c>
      <c r="D13" s="11" t="s">
        <v>3</v>
      </c>
      <c r="E13" s="10">
        <f>SUM(E11:E12)*(1+'Fane 13.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6" t="s">
        <v>117</v>
      </c>
      <c r="C15" s="77"/>
      <c r="D15" s="77"/>
      <c r="E15" s="77"/>
      <c r="F15" s="78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5"/>
      <c r="G16" s="1"/>
    </row>
    <row r="17" spans="1:7" x14ac:dyDescent="0.25">
      <c r="A17" s="1"/>
      <c r="B17" s="22" t="s">
        <v>195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6" t="s">
        <v>120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137</v>
      </c>
      <c r="C19" s="28">
        <f>-C18*'Fane 13. Nøgletal'!C17</f>
        <v>0</v>
      </c>
      <c r="D19" s="29" t="s">
        <v>3</v>
      </c>
      <c r="E19" s="28">
        <f>-E18*'Fane 13. Nøgletal'!C17</f>
        <v>0</v>
      </c>
      <c r="F19" s="29" t="s">
        <v>3</v>
      </c>
      <c r="G19" s="1"/>
    </row>
    <row r="20" spans="1:7" x14ac:dyDescent="0.25">
      <c r="A20" s="1"/>
      <c r="B20" s="46" t="s">
        <v>122</v>
      </c>
      <c r="C20" s="10">
        <f>SUM(C18:C19)*(1+'Fane 13. Nøgletal'!C12)^3</f>
        <v>0</v>
      </c>
      <c r="D20" s="11" t="s">
        <v>3</v>
      </c>
      <c r="E20" s="10">
        <f>SUM(E18:E19)*(1+'Fane 13.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6" t="s">
        <v>118</v>
      </c>
      <c r="C22" s="77"/>
      <c r="D22" s="77"/>
      <c r="E22" s="77"/>
      <c r="F22" s="78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5"/>
      <c r="G23" s="1"/>
    </row>
    <row r="24" spans="1:7" x14ac:dyDescent="0.25">
      <c r="A24" s="1"/>
      <c r="B24" s="22" t="s">
        <v>195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6" t="s">
        <v>120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137</v>
      </c>
      <c r="C26" s="28">
        <f>-C25*'Fane 13. Nøgletal'!C17</f>
        <v>0</v>
      </c>
      <c r="D26" s="29" t="s">
        <v>3</v>
      </c>
      <c r="E26" s="28">
        <f>-E25*'Fane 13. Nøgletal'!C17</f>
        <v>0</v>
      </c>
      <c r="F26" s="29" t="s">
        <v>3</v>
      </c>
      <c r="G26" s="1"/>
    </row>
    <row r="27" spans="1:7" x14ac:dyDescent="0.25">
      <c r="A27" s="1"/>
      <c r="B27" s="46" t="s">
        <v>122</v>
      </c>
      <c r="C27" s="10">
        <f>SUM(C25:C26)*(1+'Fane 13. Nøgletal'!C12)^4</f>
        <v>0</v>
      </c>
      <c r="D27" s="11" t="s">
        <v>3</v>
      </c>
      <c r="E27" s="10">
        <f>SUM(E25:E26)*(1+'Fane 13.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6" t="s">
        <v>119</v>
      </c>
      <c r="C29" s="77"/>
      <c r="D29" s="77"/>
      <c r="E29" s="77"/>
      <c r="F29" s="78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5"/>
      <c r="G30" s="1"/>
    </row>
    <row r="31" spans="1:7" x14ac:dyDescent="0.25">
      <c r="A31" s="1"/>
      <c r="B31" s="22" t="s">
        <v>195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6" t="s">
        <v>120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137</v>
      </c>
      <c r="C33" s="28">
        <f>-C32*'Fane 13. Nøgletal'!C17</f>
        <v>0</v>
      </c>
      <c r="D33" s="29" t="s">
        <v>3</v>
      </c>
      <c r="E33" s="28">
        <f>-E32*'Fane 13. Nøgletal'!C17</f>
        <v>0</v>
      </c>
      <c r="F33" s="29" t="s">
        <v>3</v>
      </c>
      <c r="G33" s="1"/>
    </row>
    <row r="34" spans="1:7" x14ac:dyDescent="0.25">
      <c r="A34" s="1"/>
      <c r="B34" s="46" t="s">
        <v>122</v>
      </c>
      <c r="C34" s="10">
        <f>SUM(C32:C33)*(1+'Fane 13. Nøgletal'!C12)^5</f>
        <v>0</v>
      </c>
      <c r="D34" s="11" t="s">
        <v>3</v>
      </c>
      <c r="E34" s="10">
        <f>SUM(E32:E33)*(1+'Fane 13.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pJ3xNynYczjdiYZ4xzJmMZ0hr14oyewpgTU7E1mSlE1u3ddhd9HlZhqeIDVuJFTa3tvp6NeYTCDPFy1U4U1Vhw==" saltValue="NHhZTmFGgd7m5oBwGBGe1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8" t="s">
        <v>163</v>
      </c>
      <c r="C3" s="68"/>
      <c r="D3" s="68"/>
      <c r="E3" s="68"/>
      <c r="F3" s="68"/>
      <c r="G3" s="1"/>
    </row>
    <row r="4" spans="1:7" ht="15" customHeight="1" x14ac:dyDescent="0.25">
      <c r="A4" s="1"/>
      <c r="B4" s="68"/>
      <c r="C4" s="68"/>
      <c r="D4" s="68"/>
      <c r="E4" s="68"/>
      <c r="F4" s="68"/>
      <c r="G4" s="1"/>
    </row>
    <row r="5" spans="1:7" x14ac:dyDescent="0.25">
      <c r="A5" s="1"/>
      <c r="B5" s="68"/>
      <c r="C5" s="68"/>
      <c r="D5" s="68"/>
      <c r="E5" s="68"/>
      <c r="F5" s="6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6" t="s">
        <v>94</v>
      </c>
      <c r="C8" s="77"/>
      <c r="D8" s="77"/>
      <c r="E8" s="77"/>
      <c r="F8" s="78"/>
      <c r="G8" s="1"/>
    </row>
    <row r="9" spans="1:7" x14ac:dyDescent="0.25">
      <c r="A9" s="1"/>
      <c r="B9" s="92" t="s">
        <v>165</v>
      </c>
      <c r="C9" s="93"/>
      <c r="D9" s="94"/>
      <c r="E9" s="8">
        <v>0</v>
      </c>
      <c r="F9" s="12" t="s">
        <v>3</v>
      </c>
      <c r="G9" s="1"/>
    </row>
    <row r="10" spans="1:7" x14ac:dyDescent="0.25">
      <c r="A10" s="1"/>
      <c r="B10" s="95" t="s">
        <v>137</v>
      </c>
      <c r="C10" s="96"/>
      <c r="D10" s="97"/>
      <c r="E10" s="8">
        <f>-E9*'Fane 13. Nøgletal'!C17</f>
        <v>0</v>
      </c>
      <c r="F10" s="12" t="s">
        <v>3</v>
      </c>
      <c r="G10" s="1"/>
    </row>
    <row r="11" spans="1:7" x14ac:dyDescent="0.25">
      <c r="A11" s="1"/>
      <c r="B11" s="76" t="s">
        <v>98</v>
      </c>
      <c r="C11" s="77"/>
      <c r="D11" s="78"/>
      <c r="E11" s="10">
        <f>SUM(E9:E10)*(1+'Fane 13. Nøgletal'!C9)^3</f>
        <v>0</v>
      </c>
      <c r="F11" s="11" t="s">
        <v>3</v>
      </c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76" t="s">
        <v>95</v>
      </c>
      <c r="C13" s="77"/>
      <c r="D13" s="77"/>
      <c r="E13" s="77"/>
      <c r="F13" s="78"/>
      <c r="G13" s="1"/>
    </row>
    <row r="14" spans="1:7" x14ac:dyDescent="0.25">
      <c r="A14" s="1"/>
      <c r="B14" s="92" t="s">
        <v>93</v>
      </c>
      <c r="C14" s="93"/>
      <c r="D14" s="94"/>
      <c r="E14" s="8">
        <v>0</v>
      </c>
      <c r="F14" s="12" t="s">
        <v>3</v>
      </c>
      <c r="G14" s="1"/>
    </row>
    <row r="15" spans="1:7" x14ac:dyDescent="0.25">
      <c r="A15" s="1"/>
      <c r="B15" s="95" t="s">
        <v>137</v>
      </c>
      <c r="C15" s="96"/>
      <c r="D15" s="97"/>
      <c r="E15" s="8">
        <f>-E14*'Fane 13. Nøgletal'!C17</f>
        <v>0</v>
      </c>
      <c r="F15" s="12" t="s">
        <v>3</v>
      </c>
      <c r="G15" s="1"/>
    </row>
    <row r="16" spans="1:7" x14ac:dyDescent="0.25">
      <c r="A16" s="1"/>
      <c r="B16" s="76" t="s">
        <v>99</v>
      </c>
      <c r="C16" s="77"/>
      <c r="D16" s="78"/>
      <c r="E16" s="10">
        <f>SUM(E14:E15)*(1+'Fane 13. Nøgletal'!C12)^3</f>
        <v>0</v>
      </c>
      <c r="F16" s="1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76" t="s">
        <v>96</v>
      </c>
      <c r="C18" s="77"/>
      <c r="D18" s="77"/>
      <c r="E18" s="77"/>
      <c r="F18" s="78"/>
      <c r="G18" s="1"/>
    </row>
    <row r="19" spans="1:7" x14ac:dyDescent="0.25">
      <c r="A19" s="1"/>
      <c r="B19" s="92" t="s">
        <v>93</v>
      </c>
      <c r="C19" s="93"/>
      <c r="D19" s="94"/>
      <c r="E19" s="8">
        <v>0</v>
      </c>
      <c r="F19" s="12" t="s">
        <v>3</v>
      </c>
      <c r="G19" s="1"/>
    </row>
    <row r="20" spans="1:7" x14ac:dyDescent="0.25">
      <c r="A20" s="1"/>
      <c r="B20" s="95" t="s">
        <v>137</v>
      </c>
      <c r="C20" s="96"/>
      <c r="D20" s="97"/>
      <c r="E20" s="8">
        <f>-E19*'Fane 13. Nøgletal'!C17</f>
        <v>0</v>
      </c>
      <c r="F20" s="12" t="s">
        <v>3</v>
      </c>
      <c r="G20" s="1"/>
    </row>
    <row r="21" spans="1:7" x14ac:dyDescent="0.25">
      <c r="A21" s="1"/>
      <c r="B21" s="76" t="s">
        <v>100</v>
      </c>
      <c r="C21" s="77"/>
      <c r="D21" s="78"/>
      <c r="E21" s="10">
        <f>SUM(E19:E20)*(1+'Fane 13. Nøgletal'!C12)^4</f>
        <v>0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76" t="s">
        <v>97</v>
      </c>
      <c r="C23" s="77"/>
      <c r="D23" s="77"/>
      <c r="E23" s="77"/>
      <c r="F23" s="78"/>
      <c r="G23" s="1"/>
    </row>
    <row r="24" spans="1:7" ht="15" customHeight="1" x14ac:dyDescent="0.25">
      <c r="A24" s="1"/>
      <c r="B24" s="92" t="s">
        <v>93</v>
      </c>
      <c r="C24" s="93"/>
      <c r="D24" s="94"/>
      <c r="E24" s="8">
        <v>0</v>
      </c>
      <c r="F24" s="12" t="s">
        <v>3</v>
      </c>
      <c r="G24" s="1"/>
    </row>
    <row r="25" spans="1:7" x14ac:dyDescent="0.25">
      <c r="A25" s="1"/>
      <c r="B25" s="95" t="s">
        <v>137</v>
      </c>
      <c r="C25" s="96"/>
      <c r="D25" s="97"/>
      <c r="E25" s="8">
        <f>-E24*'Fane 13. Nøgletal'!C17</f>
        <v>0</v>
      </c>
      <c r="F25" s="12" t="s">
        <v>3</v>
      </c>
      <c r="G25" s="1"/>
    </row>
    <row r="26" spans="1:7" x14ac:dyDescent="0.25">
      <c r="A26" s="1"/>
      <c r="B26" s="76" t="s">
        <v>101</v>
      </c>
      <c r="C26" s="77"/>
      <c r="D26" s="78"/>
      <c r="E26" s="10">
        <f>SUM(E24:E25)*(1+'Fane 13. Nøgletal'!C12)^5</f>
        <v>0</v>
      </c>
      <c r="F26" s="11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6HmkEJNfS1iEX+kZ61UAoLhNAJOCM+CRpDWIyktE7GQh+gUrM/ZrxR8oBDYRL5RUWSjTSrQ1LK6CAXJH4k/52Q==" saltValue="XuGsH2/Q0h6x9w8kcctJ3g==" spinCount="100000" sheet="1" objects="1" scenarios="1"/>
  <mergeCells count="17">
    <mergeCell ref="B11:D11"/>
    <mergeCell ref="B10:D10"/>
    <mergeCell ref="B15:D15"/>
    <mergeCell ref="B3:F5"/>
    <mergeCell ref="B8:F8"/>
    <mergeCell ref="B9:D9"/>
    <mergeCell ref="B16:D16"/>
    <mergeCell ref="B18:F18"/>
    <mergeCell ref="B13:F13"/>
    <mergeCell ref="B26:D26"/>
    <mergeCell ref="B23:F23"/>
    <mergeCell ref="B24:D24"/>
    <mergeCell ref="B21:D21"/>
    <mergeCell ref="B19:D19"/>
    <mergeCell ref="B20:D20"/>
    <mergeCell ref="B25:D25"/>
    <mergeCell ref="B14:D1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2.5703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8" t="s">
        <v>146</v>
      </c>
      <c r="C3" s="68"/>
      <c r="D3" s="68"/>
      <c r="E3" s="68"/>
      <c r="F3" s="68"/>
      <c r="G3" s="1"/>
    </row>
    <row r="4" spans="1:7" ht="25.5" customHeight="1" x14ac:dyDescent="0.25">
      <c r="A4" s="1"/>
      <c r="B4" s="68"/>
      <c r="C4" s="68"/>
      <c r="D4" s="68"/>
      <c r="E4" s="68"/>
      <c r="F4" s="6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6" t="s">
        <v>32</v>
      </c>
      <c r="C8" s="77"/>
      <c r="D8" s="77"/>
      <c r="E8" s="77"/>
      <c r="F8" s="78"/>
      <c r="G8" s="1"/>
    </row>
    <row r="9" spans="1:7" ht="15" customHeight="1" x14ac:dyDescent="0.25">
      <c r="A9" s="1"/>
      <c r="B9" s="44" t="s">
        <v>33</v>
      </c>
      <c r="C9" s="98" t="s">
        <v>15</v>
      </c>
      <c r="D9" s="99"/>
      <c r="E9" s="98" t="s">
        <v>42</v>
      </c>
      <c r="F9" s="99"/>
      <c r="G9" s="1"/>
    </row>
    <row r="10" spans="1:7" x14ac:dyDescent="0.25">
      <c r="A10" s="1"/>
      <c r="B10" s="22" t="s">
        <v>182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66</v>
      </c>
      <c r="C12" s="10">
        <f>C11*(1+'Fane 13. Nøgletal'!C12)</f>
        <v>0</v>
      </c>
      <c r="D12" s="11" t="s">
        <v>3</v>
      </c>
      <c r="E12" s="10">
        <f>E11*(1+'Fane 13.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K8l0ahPFBScQnDUymhpxtQFdKr7T+KmrNH6ZV62pg2HL1WLHJOKLSAGv5LvpAgG7uc8oHAPd2kQ9ALd1UJ1hjA==" saltValue="f6exTcspcNyTzITKvOEQw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8" t="s">
        <v>147</v>
      </c>
      <c r="C3" s="68"/>
      <c r="D3" s="68"/>
      <c r="E3" s="68"/>
      <c r="F3" s="68"/>
      <c r="G3" s="1"/>
    </row>
    <row r="4" spans="1:7" ht="25.5" customHeight="1" x14ac:dyDescent="0.25">
      <c r="A4" s="1"/>
      <c r="B4" s="68"/>
      <c r="C4" s="68"/>
      <c r="D4" s="68"/>
      <c r="E4" s="68"/>
      <c r="F4" s="6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6" t="s">
        <v>103</v>
      </c>
      <c r="C8" s="77"/>
      <c r="D8" s="77"/>
      <c r="E8" s="77"/>
      <c r="F8" s="78"/>
      <c r="G8" s="1"/>
    </row>
    <row r="9" spans="1:7" ht="15" customHeight="1" x14ac:dyDescent="0.25">
      <c r="A9" s="1"/>
      <c r="B9" s="44" t="s">
        <v>25</v>
      </c>
      <c r="C9" s="44" t="s">
        <v>15</v>
      </c>
      <c r="D9" s="45"/>
      <c r="E9" s="44" t="s">
        <v>42</v>
      </c>
      <c r="F9" s="45"/>
      <c r="G9" s="1"/>
    </row>
    <row r="10" spans="1:7" x14ac:dyDescent="0.25">
      <c r="A10" s="1"/>
      <c r="B10" s="22" t="s">
        <v>183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56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65</v>
      </c>
      <c r="C12" s="10">
        <f>C11*(1+'Fane 13. Nøgletal'!C12)</f>
        <v>0</v>
      </c>
      <c r="D12" s="11" t="s">
        <v>3</v>
      </c>
      <c r="E12" s="10">
        <f>E11*(1+'Fane 13.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6" t="s">
        <v>104</v>
      </c>
      <c r="C14" s="77"/>
      <c r="D14" s="77"/>
      <c r="E14" s="77"/>
      <c r="F14" s="78"/>
      <c r="G14" s="1"/>
    </row>
    <row r="15" spans="1:7" ht="26.25" x14ac:dyDescent="0.25">
      <c r="A15" s="1"/>
      <c r="B15" s="44" t="s">
        <v>25</v>
      </c>
      <c r="C15" s="44" t="s">
        <v>15</v>
      </c>
      <c r="D15" s="45"/>
      <c r="E15" s="44" t="s">
        <v>42</v>
      </c>
      <c r="F15" s="45"/>
      <c r="G15" s="1"/>
    </row>
    <row r="16" spans="1:7" x14ac:dyDescent="0.25">
      <c r="A16" s="1"/>
      <c r="B16" s="22" t="s">
        <v>183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6" t="s">
        <v>56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6" t="s">
        <v>89</v>
      </c>
      <c r="C18" s="10">
        <f>C17*(1+'Fane 13. Nøgletal'!C12)^2</f>
        <v>0</v>
      </c>
      <c r="D18" s="11" t="s">
        <v>3</v>
      </c>
      <c r="E18" s="10">
        <f>E17*(1+'Fane 13.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6" t="s">
        <v>102</v>
      </c>
      <c r="C20" s="77"/>
      <c r="D20" s="77"/>
      <c r="E20" s="77"/>
      <c r="F20" s="78"/>
      <c r="G20" s="1"/>
    </row>
    <row r="21" spans="1:7" ht="26.25" x14ac:dyDescent="0.25">
      <c r="A21" s="1"/>
      <c r="B21" s="44" t="s">
        <v>25</v>
      </c>
      <c r="C21" s="44" t="s">
        <v>15</v>
      </c>
      <c r="D21" s="45"/>
      <c r="E21" s="44" t="s">
        <v>42</v>
      </c>
      <c r="F21" s="45"/>
      <c r="G21" s="1"/>
    </row>
    <row r="22" spans="1:7" x14ac:dyDescent="0.25">
      <c r="A22" s="1"/>
      <c r="B22" s="22" t="s">
        <v>183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6" t="s">
        <v>56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6" t="s">
        <v>90</v>
      </c>
      <c r="C24" s="10">
        <f>C23*(1+'Fane 13. Nøgletal'!C12)^3</f>
        <v>0</v>
      </c>
      <c r="D24" s="11" t="s">
        <v>3</v>
      </c>
      <c r="E24" s="10">
        <f>E23*(1+'Fane 13.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6" t="s">
        <v>105</v>
      </c>
      <c r="C26" s="77"/>
      <c r="D26" s="77"/>
      <c r="E26" s="77"/>
      <c r="F26" s="78"/>
      <c r="G26" s="1"/>
    </row>
    <row r="27" spans="1:7" ht="26.25" x14ac:dyDescent="0.25">
      <c r="A27" s="1"/>
      <c r="B27" s="44" t="s">
        <v>25</v>
      </c>
      <c r="C27" s="44" t="s">
        <v>15</v>
      </c>
      <c r="D27" s="45"/>
      <c r="E27" s="44" t="s">
        <v>42</v>
      </c>
      <c r="F27" s="45"/>
      <c r="G27" s="1"/>
    </row>
    <row r="28" spans="1:7" x14ac:dyDescent="0.25">
      <c r="A28" s="1"/>
      <c r="B28" s="22" t="s">
        <v>183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6" t="s">
        <v>56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6" t="s">
        <v>91</v>
      </c>
      <c r="C30" s="10">
        <f>C29*(1+'Fane 13. Nøgletal'!C12)^4</f>
        <v>0</v>
      </c>
      <c r="D30" s="11" t="s">
        <v>3</v>
      </c>
      <c r="E30" s="10">
        <f>E29*(1+'Fane 13.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rduufUnp/9Y+8gVlIu5o1+xYqUKyM2HPzd0WVU4Be+x10zEcDIzego0LG9alL3bOvQWU5ZTVHt4b/gedN4ziNA==" saltValue="4l7ZC1zVto3LQ3RkLGB6J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148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6" t="s">
        <v>17</v>
      </c>
      <c r="C8" s="77"/>
      <c r="D8" s="77"/>
      <c r="E8" s="77"/>
      <c r="F8" s="77"/>
      <c r="G8" s="77"/>
      <c r="H8" s="78"/>
      <c r="I8" s="1"/>
    </row>
    <row r="9" spans="1:9" x14ac:dyDescent="0.25">
      <c r="A9" s="1"/>
      <c r="B9" s="100" t="s">
        <v>11</v>
      </c>
      <c r="C9" s="101"/>
      <c r="D9" s="101"/>
      <c r="E9" s="101"/>
      <c r="F9" s="102"/>
      <c r="G9" s="8">
        <v>5057752</v>
      </c>
      <c r="H9" s="12" t="s">
        <v>3</v>
      </c>
      <c r="I9" s="1"/>
    </row>
    <row r="10" spans="1:9" x14ac:dyDescent="0.25">
      <c r="A10" s="1"/>
      <c r="B10" s="100" t="s">
        <v>78</v>
      </c>
      <c r="C10" s="101"/>
      <c r="D10" s="101"/>
      <c r="E10" s="101"/>
      <c r="F10" s="102"/>
      <c r="G10" s="8">
        <v>0</v>
      </c>
      <c r="H10" s="12" t="s">
        <v>3</v>
      </c>
      <c r="I10" s="1"/>
    </row>
    <row r="11" spans="1:9" x14ac:dyDescent="0.25">
      <c r="A11" s="1"/>
      <c r="B11" s="100" t="s">
        <v>70</v>
      </c>
      <c r="C11" s="101"/>
      <c r="D11" s="101"/>
      <c r="E11" s="101"/>
      <c r="F11" s="102"/>
      <c r="G11" s="8">
        <v>-5057751.8999999994</v>
      </c>
      <c r="H11" s="12" t="s">
        <v>3</v>
      </c>
      <c r="I11" s="1"/>
    </row>
    <row r="12" spans="1:9" x14ac:dyDescent="0.25">
      <c r="A12" s="1"/>
      <c r="B12" s="103" t="s">
        <v>14</v>
      </c>
      <c r="C12" s="104"/>
      <c r="D12" s="104"/>
      <c r="E12" s="104"/>
      <c r="F12" s="105"/>
      <c r="G12" s="17">
        <f>(G9+G10)+G11</f>
        <v>0.10000000055879354</v>
      </c>
      <c r="H12" s="16" t="s">
        <v>3</v>
      </c>
      <c r="I12" s="1"/>
    </row>
    <row r="13" spans="1:9" x14ac:dyDescent="0.25">
      <c r="A13" s="1"/>
      <c r="B13" s="100" t="s">
        <v>12</v>
      </c>
      <c r="C13" s="101"/>
      <c r="D13" s="101"/>
      <c r="E13" s="101"/>
      <c r="F13" s="102"/>
      <c r="G13" s="8">
        <v>0</v>
      </c>
      <c r="H13" s="12" t="s">
        <v>27</v>
      </c>
      <c r="I13" s="1"/>
    </row>
    <row r="14" spans="1:9" x14ac:dyDescent="0.25">
      <c r="A14" s="1"/>
      <c r="B14" s="76" t="s">
        <v>79</v>
      </c>
      <c r="C14" s="77"/>
      <c r="D14" s="77"/>
      <c r="E14" s="77"/>
      <c r="F14" s="78"/>
      <c r="G14" s="10">
        <f>IF(G13 = 0,0,-G12/G13)</f>
        <v>0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rfcDHNwjcvn+plTRxxH3nrhDs5RLfFTYaH9Mu0/sYZgdEpIzNIAsbSGPLGS1+yvZeXBS9zkYLjo6LTJpYj6pLA==" saltValue="ksUuHmK1G/R2/yoGTKllXg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68" t="s">
        <v>141</v>
      </c>
      <c r="C3" s="68"/>
      <c r="D3" s="1"/>
    </row>
    <row r="4" spans="1:4" ht="25.5" customHeight="1" x14ac:dyDescent="0.25">
      <c r="A4" s="1"/>
      <c r="B4" s="68"/>
      <c r="C4" s="68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20</v>
      </c>
      <c r="C8" s="47"/>
      <c r="D8" s="1"/>
    </row>
    <row r="9" spans="1:4" x14ac:dyDescent="0.25">
      <c r="A9" s="1"/>
      <c r="B9" s="30" t="s">
        <v>161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63</v>
      </c>
      <c r="C12" s="33">
        <v>1.9699999999999999E-2</v>
      </c>
      <c r="D12" s="1"/>
    </row>
    <row r="13" spans="1:4" x14ac:dyDescent="0.25">
      <c r="A13" s="1"/>
      <c r="B13" s="46"/>
      <c r="C13" s="4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137</v>
      </c>
      <c r="C16" s="47"/>
      <c r="D16" s="1"/>
    </row>
    <row r="17" spans="1:4" x14ac:dyDescent="0.25">
      <c r="A17" s="1"/>
      <c r="B17" s="30" t="s">
        <v>162</v>
      </c>
      <c r="C17" s="23">
        <v>1.7000000000000001E-2</v>
      </c>
      <c r="D17" s="1"/>
    </row>
    <row r="18" spans="1:4" x14ac:dyDescent="0.25">
      <c r="A18" s="1"/>
      <c r="B18" s="106"/>
      <c r="C18" s="107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TUUhm58A9rHsMwJJALGa/mpK2dPU93RtTlQGORRclpCzNXk4e3Yz3P1OXfbQu1ZxP+JK9WTl7H++8vOTWLSBLQ==" saltValue="ZTBNZNp4iQNCfje568KGwg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57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19</v>
      </c>
      <c r="C8" s="38"/>
      <c r="D8" s="38"/>
      <c r="E8" s="38"/>
      <c r="F8" s="38"/>
      <c r="G8" s="1"/>
    </row>
    <row r="9" spans="1:7" x14ac:dyDescent="0.25">
      <c r="A9" s="1"/>
      <c r="B9" s="40" t="s">
        <v>35</v>
      </c>
      <c r="C9" s="40"/>
      <c r="D9" s="40"/>
      <c r="E9" s="7">
        <f>'Fane 3. Omkostninger i ØR2019'!$E$15</f>
        <v>18091252.405033823</v>
      </c>
      <c r="F9" s="40" t="s">
        <v>3</v>
      </c>
      <c r="G9" s="1"/>
    </row>
    <row r="10" spans="1:7" x14ac:dyDescent="0.25">
      <c r="A10" s="1"/>
      <c r="B10" s="41" t="s">
        <v>169</v>
      </c>
      <c r="C10" s="40"/>
      <c r="D10" s="40"/>
      <c r="E10" s="7">
        <f>'Fane 3. Omkostninger i ØR2019'!$E$10*(1-'Fane 13. Nøgletal'!C17)*(1+'Fane 13. Nøgletal'!C10)</f>
        <v>0</v>
      </c>
      <c r="F10" s="40" t="s">
        <v>3</v>
      </c>
      <c r="G10" s="1"/>
    </row>
    <row r="11" spans="1:7" x14ac:dyDescent="0.25">
      <c r="A11" s="1"/>
      <c r="B11" s="41" t="s">
        <v>172</v>
      </c>
      <c r="C11" s="40"/>
      <c r="D11" s="40"/>
      <c r="E11" s="7">
        <f>('Fane 3. Omkostninger i ØR2019'!$E$11+'Fane 3. Omkostninger i ØR2019'!$E$12)*(1-'Fane 13. Nøgletal'!C17)*(1+'Fane 13. Nøgletal'!C11)</f>
        <v>150789.53948396875</v>
      </c>
      <c r="F11" s="40" t="s">
        <v>3</v>
      </c>
      <c r="G11" s="1"/>
    </row>
    <row r="12" spans="1:7" ht="17.100000000000001" customHeight="1" x14ac:dyDescent="0.25">
      <c r="A12" s="1"/>
      <c r="B12" s="31" t="s">
        <v>170</v>
      </c>
      <c r="C12" s="40"/>
      <c r="D12" s="40"/>
      <c r="E12" s="7">
        <f>'Fane 8.1. Varige tillæg'!C13+'Fane 8.1. Varige tillæg'!E13</f>
        <v>352508.04665999999</v>
      </c>
      <c r="F12" s="40" t="s">
        <v>3</v>
      </c>
      <c r="G12" s="1"/>
    </row>
    <row r="13" spans="1:7" ht="17.100000000000001" customHeight="1" x14ac:dyDescent="0.25">
      <c r="A13" s="1"/>
      <c r="B13" s="31" t="s">
        <v>171</v>
      </c>
      <c r="C13" s="40"/>
      <c r="D13" s="40"/>
      <c r="E13" s="8">
        <f>-('Fane 11. Bortfald'!C12+'Fane 11. Bortfald'!E12)</f>
        <v>0</v>
      </c>
      <c r="F13" s="40" t="s">
        <v>3</v>
      </c>
      <c r="G13" s="1"/>
    </row>
    <row r="14" spans="1:7" ht="17.100000000000001" customHeight="1" x14ac:dyDescent="0.25">
      <c r="A14" s="1"/>
      <c r="B14" s="31" t="s">
        <v>130</v>
      </c>
      <c r="C14" s="40"/>
      <c r="D14" s="40"/>
      <c r="E14" s="8">
        <f>'Fane 10. Tilknyttet aktivitet'!C12+'Fane 10. Tilknyttet aktivitet'!E12</f>
        <v>0</v>
      </c>
      <c r="F14" s="40" t="s">
        <v>3</v>
      </c>
      <c r="G14" s="1"/>
    </row>
    <row r="15" spans="1:7" ht="17.100000000000001" customHeight="1" x14ac:dyDescent="0.25">
      <c r="A15" s="1"/>
      <c r="B15" s="31" t="s">
        <v>26</v>
      </c>
      <c r="C15" s="40"/>
      <c r="D15" s="40"/>
      <c r="E15" s="8">
        <f>(E9-SUM(E10:E11))*'Fane 13. Nøgletal'!C9+E10*'Fane 13. Nøgletal'!C10+E11*'Fane 13. Nøgletal'!C11+SUM(E12:E14)*'Fane 13. Nøgletal'!C12</f>
        <v>237336.6301289642</v>
      </c>
      <c r="F15" s="40" t="s">
        <v>3</v>
      </c>
      <c r="G15" s="1"/>
    </row>
    <row r="16" spans="1:7" ht="17.100000000000001" customHeight="1" x14ac:dyDescent="0.25">
      <c r="A16" s="1"/>
      <c r="B16" s="31" t="s">
        <v>137</v>
      </c>
      <c r="C16" s="40"/>
      <c r="D16" s="40"/>
      <c r="E16" s="8">
        <f>-SUM(E9,E12:E15)*'Fane 13. Nøgletal'!C17</f>
        <v>-317578.6503909874</v>
      </c>
      <c r="F16" s="40" t="s">
        <v>3</v>
      </c>
      <c r="G16" s="1"/>
    </row>
    <row r="17" spans="1:7" ht="17.100000000000001" customHeight="1" x14ac:dyDescent="0.25">
      <c r="A17" s="1"/>
      <c r="B17" s="42" t="s">
        <v>28</v>
      </c>
      <c r="C17" s="37"/>
      <c r="D17" s="37"/>
      <c r="E17" s="9">
        <f>SUM(E9,E12:E16)</f>
        <v>18363518.4314318</v>
      </c>
      <c r="F17" s="35" t="s">
        <v>3</v>
      </c>
      <c r="G17" s="1"/>
    </row>
    <row r="18" spans="1:7" ht="15" customHeight="1" x14ac:dyDescent="0.25">
      <c r="A18" s="1"/>
      <c r="B18" s="38" t="s">
        <v>16</v>
      </c>
      <c r="C18" s="38"/>
      <c r="D18" s="38"/>
      <c r="E18" s="38"/>
      <c r="F18" s="38"/>
      <c r="G18" s="1"/>
    </row>
    <row r="19" spans="1:7" ht="15" customHeight="1" x14ac:dyDescent="0.25">
      <c r="A19" s="1"/>
      <c r="B19" s="35" t="s">
        <v>16</v>
      </c>
      <c r="C19" s="35"/>
      <c r="D19" s="35"/>
      <c r="E19" s="9">
        <f>'Fane 4. Ikke-påvirkelige omk.'!C16+'Fane 4. Ikke-påvirkelige omk.'!C20+'Fane 4. Ikke-påvirkelige omk.'!C28</f>
        <v>6465104.9694445599</v>
      </c>
      <c r="F19" s="35" t="s">
        <v>3</v>
      </c>
      <c r="G19" s="1"/>
    </row>
    <row r="20" spans="1:7" ht="15" customHeight="1" x14ac:dyDescent="0.25">
      <c r="A20" s="1"/>
      <c r="B20" s="38" t="s">
        <v>86</v>
      </c>
      <c r="C20" s="38"/>
      <c r="D20" s="38"/>
      <c r="E20" s="38"/>
      <c r="F20" s="38"/>
      <c r="G20" s="1"/>
    </row>
    <row r="21" spans="1:7" ht="15" customHeight="1" x14ac:dyDescent="0.25">
      <c r="A21" s="1"/>
      <c r="B21" s="42" t="s">
        <v>86</v>
      </c>
      <c r="C21" s="37"/>
      <c r="D21" s="37"/>
      <c r="E21" s="9">
        <f>'Fane 9. Periodevise driftsomk.'!E11</f>
        <v>0</v>
      </c>
      <c r="F21" s="35" t="s">
        <v>3</v>
      </c>
      <c r="G21" s="1"/>
    </row>
    <row r="22" spans="1:7" ht="15" customHeight="1" x14ac:dyDescent="0.25">
      <c r="A22" s="1"/>
      <c r="B22" s="38" t="s">
        <v>85</v>
      </c>
      <c r="C22" s="38"/>
      <c r="D22" s="38"/>
      <c r="E22" s="38"/>
      <c r="F22" s="38"/>
      <c r="G22" s="1"/>
    </row>
    <row r="23" spans="1:7" ht="15" customHeight="1" x14ac:dyDescent="0.25">
      <c r="A23" s="1"/>
      <c r="B23" s="31" t="s">
        <v>81</v>
      </c>
      <c r="C23" s="40"/>
      <c r="D23" s="40"/>
      <c r="E23" s="8">
        <f>'Fane 8.2. Engangstillæg'!C13</f>
        <v>212202.65269708165</v>
      </c>
      <c r="F23" s="40" t="s">
        <v>3</v>
      </c>
      <c r="G23" s="1"/>
    </row>
    <row r="24" spans="1:7" ht="15" customHeight="1" x14ac:dyDescent="0.25">
      <c r="A24" s="1"/>
      <c r="B24" s="31" t="s">
        <v>82</v>
      </c>
      <c r="C24" s="40"/>
      <c r="D24" s="40"/>
      <c r="E24" s="8">
        <f>'Fane 8.2. Engangstillæg'!E13</f>
        <v>0</v>
      </c>
      <c r="F24" s="40" t="s">
        <v>3</v>
      </c>
      <c r="G24" s="1"/>
    </row>
    <row r="25" spans="1:7" x14ac:dyDescent="0.25">
      <c r="A25" s="1"/>
      <c r="B25" s="42" t="s">
        <v>88</v>
      </c>
      <c r="C25" s="37"/>
      <c r="D25" s="37"/>
      <c r="E25" s="9">
        <f>SUM(E23:E24)</f>
        <v>212202.65269708165</v>
      </c>
      <c r="F25" s="35" t="s">
        <v>3</v>
      </c>
      <c r="G25" s="1"/>
    </row>
    <row r="26" spans="1:7" x14ac:dyDescent="0.25">
      <c r="A26" s="1"/>
      <c r="B26" s="38" t="s">
        <v>10</v>
      </c>
      <c r="C26" s="38"/>
      <c r="D26" s="38"/>
      <c r="E26" s="38"/>
      <c r="F26" s="38"/>
      <c r="G26" s="1"/>
    </row>
    <row r="27" spans="1:7" ht="15" customHeight="1" x14ac:dyDescent="0.25">
      <c r="A27" s="1"/>
      <c r="B27" s="35" t="s">
        <v>18</v>
      </c>
      <c r="C27" s="35"/>
      <c r="D27" s="35"/>
      <c r="E27" s="9">
        <f>'Fane 12. Hist. over-underdæk.'!G14</f>
        <v>0</v>
      </c>
      <c r="F27" s="35" t="s">
        <v>3</v>
      </c>
      <c r="G27" s="1"/>
    </row>
    <row r="28" spans="1:7" ht="15" customHeight="1" x14ac:dyDescent="0.25">
      <c r="A28" s="1"/>
      <c r="B28" s="38" t="s">
        <v>175</v>
      </c>
      <c r="C28" s="38"/>
      <c r="D28" s="38"/>
      <c r="E28" s="38"/>
      <c r="F28" s="38"/>
      <c r="G28" s="1"/>
    </row>
    <row r="29" spans="1:7" x14ac:dyDescent="0.25">
      <c r="A29" s="1"/>
      <c r="B29" s="35" t="s">
        <v>176</v>
      </c>
      <c r="C29" s="35"/>
      <c r="D29" s="35"/>
      <c r="E29" s="9">
        <f>'Fane 6. Korrektioner'!E20</f>
        <v>390393.16797076887</v>
      </c>
      <c r="F29" s="35" t="s">
        <v>3</v>
      </c>
      <c r="G29" s="1"/>
    </row>
    <row r="30" spans="1:7" x14ac:dyDescent="0.25">
      <c r="A30" s="1"/>
      <c r="B30" s="38" t="s">
        <v>36</v>
      </c>
      <c r="C30" s="38"/>
      <c r="D30" s="38"/>
      <c r="E30" s="10">
        <f>SUM(E17,E19,E21,E25,E27,E29)</f>
        <v>25431219.22154421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KoGixCHpX/Mg56Ll7kQ+6+IY3O5FGIHtlApjJhM8GtM1tiZHTfKtjKjgK8UqQup6rTQXGHtv90xshxJDFHqL+Q==" saltValue="ai08m9qfQwFYTfSFucG2m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74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19</v>
      </c>
      <c r="C8" s="38"/>
      <c r="D8" s="38"/>
      <c r="E8" s="38"/>
      <c r="F8" s="38"/>
      <c r="G8" s="1"/>
    </row>
    <row r="9" spans="1:7" ht="15" customHeight="1" x14ac:dyDescent="0.25">
      <c r="A9" s="1"/>
      <c r="B9" s="40" t="s">
        <v>37</v>
      </c>
      <c r="C9" s="40"/>
      <c r="D9" s="40"/>
      <c r="E9" s="7">
        <f>'Fane 2.1. Økonomisk ramme 2020'!E17</f>
        <v>18363518.4314318</v>
      </c>
      <c r="F9" s="40" t="s">
        <v>3</v>
      </c>
      <c r="G9" s="1"/>
    </row>
    <row r="10" spans="1:7" ht="15" customHeight="1" x14ac:dyDescent="0.25">
      <c r="A10" s="1"/>
      <c r="B10" s="40" t="s">
        <v>196</v>
      </c>
      <c r="C10" s="40"/>
      <c r="D10" s="40"/>
      <c r="E10" s="7">
        <v>116142.50469815267</v>
      </c>
      <c r="F10" s="40" t="s">
        <v>3</v>
      </c>
      <c r="G10" s="1"/>
    </row>
    <row r="11" spans="1:7" ht="15" customHeight="1" x14ac:dyDescent="0.25">
      <c r="A11" s="1"/>
      <c r="B11" s="31" t="s">
        <v>171</v>
      </c>
      <c r="C11" s="40"/>
      <c r="D11" s="40"/>
      <c r="E11" s="7">
        <f>-('Fane 11. Bortfald'!C18+'Fane 11. Bortfald'!E18)</f>
        <v>0</v>
      </c>
      <c r="F11" s="40" t="s">
        <v>3</v>
      </c>
      <c r="G11" s="1"/>
    </row>
    <row r="12" spans="1:7" ht="15" customHeight="1" x14ac:dyDescent="0.25">
      <c r="A12" s="1"/>
      <c r="B12" s="36" t="s">
        <v>26</v>
      </c>
      <c r="C12" s="40"/>
      <c r="D12" s="40"/>
      <c r="E12" s="8">
        <f>SUM(E9:E11)*'Fane 13. Nøgletal'!C12</f>
        <v>364049.32044176006</v>
      </c>
      <c r="F12" s="40" t="s">
        <v>3</v>
      </c>
      <c r="G12" s="1"/>
    </row>
    <row r="13" spans="1:7" ht="15" customHeight="1" x14ac:dyDescent="0.25">
      <c r="A13" s="1"/>
      <c r="B13" s="36" t="s">
        <v>137</v>
      </c>
      <c r="C13" s="40"/>
      <c r="D13" s="40"/>
      <c r="E13" s="8">
        <f>-SUM(E9:E12)*'Fane 13. Nøgletal'!C17</f>
        <v>-320343.07436171913</v>
      </c>
      <c r="F13" s="40" t="s">
        <v>3</v>
      </c>
      <c r="G13" s="1"/>
    </row>
    <row r="14" spans="1:7" ht="15" customHeight="1" x14ac:dyDescent="0.25">
      <c r="A14" s="1"/>
      <c r="B14" s="37" t="s">
        <v>28</v>
      </c>
      <c r="C14" s="37"/>
      <c r="D14" s="37"/>
      <c r="E14" s="9">
        <f>SUM(E9:E13)</f>
        <v>18523367.182209995</v>
      </c>
      <c r="F14" s="35" t="s">
        <v>3</v>
      </c>
      <c r="G14" s="1"/>
    </row>
    <row r="15" spans="1:7" x14ac:dyDescent="0.25">
      <c r="A15" s="1"/>
      <c r="B15" s="38" t="s">
        <v>16</v>
      </c>
      <c r="C15" s="38"/>
      <c r="D15" s="38"/>
      <c r="E15" s="38"/>
      <c r="F15" s="38"/>
      <c r="G15" s="1"/>
    </row>
    <row r="16" spans="1:7" ht="15" customHeight="1" x14ac:dyDescent="0.25">
      <c r="A16" s="1"/>
      <c r="B16" s="35" t="s">
        <v>16</v>
      </c>
      <c r="C16" s="35"/>
      <c r="D16" s="35"/>
      <c r="E16" s="9">
        <f>'Fane 4. Ikke-påvirkelige omk.'!C16*(1+'Fane 13. Nøgletal'!C12)+'Fane 4. Ikke-påvirkelige omk.'!C21+'Fane 4. Ikke-påvirkelige omk.'!C29</f>
        <v>6577547.2950426182</v>
      </c>
      <c r="F16" s="35" t="s">
        <v>3</v>
      </c>
      <c r="G16" s="1"/>
    </row>
    <row r="17" spans="1:7" ht="15" customHeight="1" x14ac:dyDescent="0.25">
      <c r="A17" s="1"/>
      <c r="B17" s="38" t="s">
        <v>86</v>
      </c>
      <c r="C17" s="38"/>
      <c r="D17" s="38"/>
      <c r="E17" s="38"/>
      <c r="F17" s="38"/>
      <c r="G17" s="1"/>
    </row>
    <row r="18" spans="1:7" ht="15" customHeight="1" x14ac:dyDescent="0.25">
      <c r="A18" s="1"/>
      <c r="B18" s="42" t="s">
        <v>87</v>
      </c>
      <c r="C18" s="37"/>
      <c r="D18" s="37"/>
      <c r="E18" s="9">
        <f>'Fane 9. Periodevise driftsomk.'!E16</f>
        <v>0</v>
      </c>
      <c r="F18" s="35" t="s">
        <v>3</v>
      </c>
      <c r="G18" s="1"/>
    </row>
    <row r="19" spans="1:7" ht="15" customHeight="1" x14ac:dyDescent="0.25">
      <c r="A19" s="1"/>
      <c r="B19" s="38" t="s">
        <v>85</v>
      </c>
      <c r="C19" s="38"/>
      <c r="D19" s="38"/>
      <c r="E19" s="38"/>
      <c r="F19" s="38"/>
      <c r="G19" s="1"/>
    </row>
    <row r="20" spans="1:7" ht="15" customHeight="1" x14ac:dyDescent="0.25">
      <c r="A20" s="1"/>
      <c r="B20" s="31" t="s">
        <v>81</v>
      </c>
      <c r="C20" s="40"/>
      <c r="D20" s="40"/>
      <c r="E20" s="8">
        <f>'Fane 8.2. Engangstillæg'!C20</f>
        <v>0</v>
      </c>
      <c r="F20" s="40" t="s">
        <v>3</v>
      </c>
      <c r="G20" s="1"/>
    </row>
    <row r="21" spans="1:7" ht="15" customHeight="1" x14ac:dyDescent="0.25">
      <c r="A21" s="1"/>
      <c r="B21" s="31" t="s">
        <v>82</v>
      </c>
      <c r="C21" s="40"/>
      <c r="D21" s="40"/>
      <c r="E21" s="8">
        <f>'Fane 8.2. Engangstillæg'!E20</f>
        <v>0</v>
      </c>
      <c r="F21" s="40" t="s">
        <v>3</v>
      </c>
      <c r="G21" s="1"/>
    </row>
    <row r="22" spans="1:7" ht="15" customHeight="1" x14ac:dyDescent="0.25">
      <c r="A22" s="1"/>
      <c r="B22" s="42" t="s">
        <v>88</v>
      </c>
      <c r="C22" s="37"/>
      <c r="D22" s="37"/>
      <c r="E22" s="9">
        <f>SUM(E20:E21)</f>
        <v>0</v>
      </c>
      <c r="F22" s="35" t="s">
        <v>3</v>
      </c>
      <c r="G22" s="1"/>
    </row>
    <row r="23" spans="1:7" x14ac:dyDescent="0.25">
      <c r="A23" s="1"/>
      <c r="B23" s="38" t="s">
        <v>107</v>
      </c>
      <c r="C23" s="38"/>
      <c r="D23" s="38"/>
      <c r="E23" s="38"/>
      <c r="F23" s="38"/>
      <c r="G23" s="1"/>
    </row>
    <row r="24" spans="1:7" ht="15" customHeight="1" x14ac:dyDescent="0.25">
      <c r="A24" s="1"/>
      <c r="B24" s="35" t="s">
        <v>159</v>
      </c>
      <c r="C24" s="35"/>
      <c r="D24" s="35"/>
      <c r="E24" s="9">
        <f>'Fane 5. Kontrol af ØR2018'!E35</f>
        <v>147352.43338104151</v>
      </c>
      <c r="F24" s="35" t="s">
        <v>3</v>
      </c>
      <c r="G24" s="1"/>
    </row>
    <row r="25" spans="1:7" x14ac:dyDescent="0.25">
      <c r="A25" s="1"/>
      <c r="B25" s="38" t="s">
        <v>39</v>
      </c>
      <c r="C25" s="38"/>
      <c r="D25" s="38"/>
      <c r="E25" s="10">
        <f>SUM(E14,E16,E18,E22,E24)</f>
        <v>25248266.910633653</v>
      </c>
      <c r="F25" s="1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</sheetData>
  <sheetProtection algorithmName="SHA-512" hashValue="yqFBH/a9BO5kvvxECcwpjT5jQK9/SoFDksTFWRu+6JEPI2o+mbFfhLNHDGDgKXm0q/bPAUo2i+ZTvJkO1MlWng==" saltValue="bp7bb6lBlKSuAa49TF3Yc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174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8" t="s">
        <v>19</v>
      </c>
      <c r="C7" s="38"/>
      <c r="D7" s="38"/>
      <c r="E7" s="38"/>
      <c r="F7" s="38"/>
      <c r="G7" s="1"/>
    </row>
    <row r="8" spans="1:7" ht="15" customHeight="1" x14ac:dyDescent="0.25">
      <c r="A8" s="1"/>
      <c r="B8" s="40" t="s">
        <v>37</v>
      </c>
      <c r="C8" s="40"/>
      <c r="D8" s="40"/>
      <c r="E8" s="7">
        <f>'Fane 2.2. Økonomisk ramme 2021'!E14</f>
        <v>18523367.182209995</v>
      </c>
      <c r="F8" s="40" t="s">
        <v>3</v>
      </c>
      <c r="G8" s="1"/>
    </row>
    <row r="9" spans="1:7" ht="15" customHeight="1" x14ac:dyDescent="0.25">
      <c r="A9" s="1"/>
      <c r="B9" s="40" t="s">
        <v>171</v>
      </c>
      <c r="C9" s="40"/>
      <c r="D9" s="40"/>
      <c r="E9" s="7">
        <f>-('Fane 11. Bortfald'!C24+'Fane 11. Bortfald'!E24)</f>
        <v>0</v>
      </c>
      <c r="F9" s="40" t="s">
        <v>3</v>
      </c>
      <c r="G9" s="1"/>
    </row>
    <row r="10" spans="1:7" ht="15" customHeight="1" x14ac:dyDescent="0.25">
      <c r="A10" s="1"/>
      <c r="B10" s="36" t="s">
        <v>26</v>
      </c>
      <c r="C10" s="40"/>
      <c r="D10" s="40"/>
      <c r="E10" s="8">
        <f>SUM(E8:E9)*'Fane 13. Nøgletal'!C12</f>
        <v>364910.33348953689</v>
      </c>
      <c r="F10" s="40" t="s">
        <v>3</v>
      </c>
      <c r="G10" s="1"/>
    </row>
    <row r="11" spans="1:7" ht="15" customHeight="1" x14ac:dyDescent="0.25">
      <c r="A11" s="1"/>
      <c r="B11" s="36" t="s">
        <v>137</v>
      </c>
      <c r="C11" s="40"/>
      <c r="D11" s="40"/>
      <c r="E11" s="8">
        <f>-SUM(E8:E10)*'Fane 13. Nøgletal'!C17</f>
        <v>-321100.71776689205</v>
      </c>
      <c r="F11" s="40" t="s">
        <v>3</v>
      </c>
      <c r="G11" s="1"/>
    </row>
    <row r="12" spans="1:7" x14ac:dyDescent="0.25">
      <c r="A12" s="1"/>
      <c r="B12" s="37" t="s">
        <v>28</v>
      </c>
      <c r="C12" s="37"/>
      <c r="D12" s="37"/>
      <c r="E12" s="9">
        <f>SUM(E8:E11)</f>
        <v>18567176.79793264</v>
      </c>
      <c r="F12" s="35" t="s">
        <v>3</v>
      </c>
      <c r="G12" s="1"/>
    </row>
    <row r="13" spans="1:7" x14ac:dyDescent="0.25">
      <c r="A13" s="1"/>
      <c r="B13" s="38" t="s">
        <v>16</v>
      </c>
      <c r="C13" s="38"/>
      <c r="D13" s="38"/>
      <c r="E13" s="38"/>
      <c r="F13" s="38"/>
      <c r="G13" s="1"/>
    </row>
    <row r="14" spans="1:7" ht="15" customHeight="1" x14ac:dyDescent="0.25">
      <c r="A14" s="1"/>
      <c r="B14" s="35" t="s">
        <v>16</v>
      </c>
      <c r="C14" s="35"/>
      <c r="D14" s="35"/>
      <c r="E14" s="9">
        <f>'Fane 4. Ikke-påvirkelige omk.'!C16*(1+'Fane 13. Nøgletal'!C12)^2+'Fane 4. Ikke-påvirkelige omk.'!C22+'Fane 4. Ikke-påvirkelige omk.'!C30</f>
        <v>6692204.2081549577</v>
      </c>
      <c r="F14" s="35" t="s">
        <v>3</v>
      </c>
      <c r="G14" s="1"/>
    </row>
    <row r="15" spans="1:7" ht="15" customHeight="1" x14ac:dyDescent="0.25">
      <c r="A15" s="1"/>
      <c r="B15" s="38" t="s">
        <v>86</v>
      </c>
      <c r="C15" s="38"/>
      <c r="D15" s="38"/>
      <c r="E15" s="38"/>
      <c r="F15" s="38"/>
      <c r="G15" s="1"/>
    </row>
    <row r="16" spans="1:7" ht="15" customHeight="1" x14ac:dyDescent="0.25">
      <c r="A16" s="1"/>
      <c r="B16" s="42" t="s">
        <v>87</v>
      </c>
      <c r="C16" s="37"/>
      <c r="D16" s="37"/>
      <c r="E16" s="9">
        <f>'Fane 9. Periodevise driftsomk.'!E21</f>
        <v>0</v>
      </c>
      <c r="F16" s="35" t="s">
        <v>3</v>
      </c>
      <c r="G16" s="1"/>
    </row>
    <row r="17" spans="1:7" ht="15" customHeight="1" x14ac:dyDescent="0.25">
      <c r="A17" s="1"/>
      <c r="B17" s="38" t="s">
        <v>85</v>
      </c>
      <c r="C17" s="38"/>
      <c r="D17" s="38"/>
      <c r="E17" s="38"/>
      <c r="F17" s="38"/>
      <c r="G17" s="1"/>
    </row>
    <row r="18" spans="1:7" ht="15" customHeight="1" x14ac:dyDescent="0.25">
      <c r="A18" s="1"/>
      <c r="B18" s="31" t="s">
        <v>81</v>
      </c>
      <c r="C18" s="40"/>
      <c r="D18" s="40"/>
      <c r="E18" s="8">
        <f>'Fane 8.2. Engangstillæg'!C27</f>
        <v>0</v>
      </c>
      <c r="F18" s="40" t="s">
        <v>3</v>
      </c>
      <c r="G18" s="1"/>
    </row>
    <row r="19" spans="1:7" ht="15" customHeight="1" x14ac:dyDescent="0.25">
      <c r="A19" s="1"/>
      <c r="B19" s="31" t="s">
        <v>82</v>
      </c>
      <c r="C19" s="40"/>
      <c r="D19" s="40"/>
      <c r="E19" s="8">
        <f>'Fane 8.2. Engangstillæg'!E27</f>
        <v>0</v>
      </c>
      <c r="F19" s="40" t="s">
        <v>3</v>
      </c>
      <c r="G19" s="1"/>
    </row>
    <row r="20" spans="1:7" ht="15" customHeight="1" x14ac:dyDescent="0.25">
      <c r="A20" s="1"/>
      <c r="B20" s="42" t="s">
        <v>88</v>
      </c>
      <c r="C20" s="37"/>
      <c r="D20" s="37"/>
      <c r="E20" s="9">
        <f>SUM(E18:E19)</f>
        <v>0</v>
      </c>
      <c r="F20" s="35" t="s">
        <v>3</v>
      </c>
      <c r="G20" s="1"/>
    </row>
    <row r="21" spans="1:7" ht="15" customHeight="1" x14ac:dyDescent="0.25">
      <c r="A21" s="1"/>
      <c r="B21" s="38" t="s">
        <v>107</v>
      </c>
      <c r="C21" s="38"/>
      <c r="D21" s="38"/>
      <c r="E21" s="38"/>
      <c r="F21" s="38"/>
      <c r="G21" s="1"/>
    </row>
    <row r="22" spans="1:7" ht="15" customHeight="1" x14ac:dyDescent="0.25">
      <c r="A22" s="1"/>
      <c r="B22" s="35" t="s">
        <v>159</v>
      </c>
      <c r="C22" s="35"/>
      <c r="D22" s="35"/>
      <c r="E22" s="9">
        <f>'Fane 2.2. Økonomisk ramme 2021'!E24</f>
        <v>147352.43338104151</v>
      </c>
      <c r="F22" s="35" t="s">
        <v>3</v>
      </c>
      <c r="G22" s="1"/>
    </row>
    <row r="23" spans="1:7" x14ac:dyDescent="0.25">
      <c r="A23" s="1"/>
      <c r="B23" s="38" t="s">
        <v>40</v>
      </c>
      <c r="C23" s="38"/>
      <c r="D23" s="38"/>
      <c r="E23" s="10">
        <f>SUM(E12,E14,E16,E20,E22)</f>
        <v>25406733.439468637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C3YpIH2zfAr7J+XF1PoVd5P1WIuRHIODQAJhkRZkWoL8Bq6WUvE5sYZKc17vJsWvzCqHMwmxq0ht0aV54c7GPg==" saltValue="hsUhfW4NdY1i6DqfzVDdM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173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8" t="s">
        <v>19</v>
      </c>
      <c r="C7" s="38"/>
      <c r="D7" s="38"/>
      <c r="E7" s="38"/>
      <c r="F7" s="38"/>
      <c r="G7" s="1"/>
    </row>
    <row r="8" spans="1:7" ht="15" customHeight="1" x14ac:dyDescent="0.25">
      <c r="A8" s="1"/>
      <c r="B8" s="40" t="s">
        <v>38</v>
      </c>
      <c r="C8" s="40"/>
      <c r="D8" s="40"/>
      <c r="E8" s="7">
        <f>'Fane 2.3. Økonomisk ramme 2022'!E12</f>
        <v>18567176.79793264</v>
      </c>
      <c r="F8" s="40" t="s">
        <v>3</v>
      </c>
      <c r="G8" s="1"/>
    </row>
    <row r="9" spans="1:7" ht="15" customHeight="1" x14ac:dyDescent="0.25">
      <c r="A9" s="1"/>
      <c r="B9" s="40" t="s">
        <v>171</v>
      </c>
      <c r="C9" s="40"/>
      <c r="D9" s="40"/>
      <c r="E9" s="7">
        <f>-('Fane 11. Bortfald'!C30+'Fane 11. Bortfald'!E30)</f>
        <v>0</v>
      </c>
      <c r="F9" s="40" t="s">
        <v>3</v>
      </c>
      <c r="G9" s="1"/>
    </row>
    <row r="10" spans="1:7" ht="15" customHeight="1" x14ac:dyDescent="0.25">
      <c r="A10" s="1"/>
      <c r="B10" s="36" t="s">
        <v>26</v>
      </c>
      <c r="C10" s="40"/>
      <c r="D10" s="40"/>
      <c r="E10" s="8">
        <f>E8*'Fane 13. Nøgletal'!C12</f>
        <v>365773.38291927299</v>
      </c>
      <c r="F10" s="40" t="s">
        <v>3</v>
      </c>
      <c r="G10" s="1"/>
    </row>
    <row r="11" spans="1:7" ht="15" customHeight="1" x14ac:dyDescent="0.25">
      <c r="A11" s="1"/>
      <c r="B11" s="36" t="s">
        <v>137</v>
      </c>
      <c r="C11" s="40"/>
      <c r="D11" s="40"/>
      <c r="E11" s="8">
        <f>-SUM(E8:E10)*'Fane 13. Nøgletal'!C17</f>
        <v>-321860.15307448257</v>
      </c>
      <c r="F11" s="40" t="s">
        <v>3</v>
      </c>
      <c r="G11" s="1"/>
    </row>
    <row r="12" spans="1:7" x14ac:dyDescent="0.25">
      <c r="A12" s="1"/>
      <c r="B12" s="37" t="s">
        <v>28</v>
      </c>
      <c r="C12" s="37"/>
      <c r="D12" s="37"/>
      <c r="E12" s="9">
        <f>SUM(E8:E11)</f>
        <v>18611090.02777743</v>
      </c>
      <c r="F12" s="35" t="s">
        <v>3</v>
      </c>
      <c r="G12" s="1"/>
    </row>
    <row r="13" spans="1:7" x14ac:dyDescent="0.25">
      <c r="A13" s="1"/>
      <c r="B13" s="38" t="s">
        <v>16</v>
      </c>
      <c r="C13" s="38"/>
      <c r="D13" s="38"/>
      <c r="E13" s="38"/>
      <c r="F13" s="38"/>
      <c r="G13" s="1"/>
    </row>
    <row r="14" spans="1:7" ht="15" customHeight="1" x14ac:dyDescent="0.25">
      <c r="A14" s="1"/>
      <c r="B14" s="35" t="s">
        <v>16</v>
      </c>
      <c r="C14" s="35"/>
      <c r="D14" s="35"/>
      <c r="E14" s="9">
        <f>'Fane 4. Ikke-påvirkelige omk.'!C16*(1+'Fane 13. Nøgletal'!C12)^3+'Fane 4. Ikke-påvirkelige omk.'!C23+'Fane 4. Ikke-påvirkelige omk.'!C31</f>
        <v>6809118.27705561</v>
      </c>
      <c r="F14" s="35" t="s">
        <v>3</v>
      </c>
      <c r="G14" s="1"/>
    </row>
    <row r="15" spans="1:7" ht="15" customHeight="1" x14ac:dyDescent="0.25">
      <c r="A15" s="1"/>
      <c r="B15" s="38" t="s">
        <v>86</v>
      </c>
      <c r="C15" s="38"/>
      <c r="D15" s="38"/>
      <c r="E15" s="38"/>
      <c r="F15" s="38"/>
      <c r="G15" s="1"/>
    </row>
    <row r="16" spans="1:7" ht="15" customHeight="1" x14ac:dyDescent="0.25">
      <c r="A16" s="1"/>
      <c r="B16" s="42" t="s">
        <v>87</v>
      </c>
      <c r="C16" s="37"/>
      <c r="D16" s="37"/>
      <c r="E16" s="9">
        <f>'Fane 9. Periodevise driftsomk.'!E26</f>
        <v>0</v>
      </c>
      <c r="F16" s="35" t="s">
        <v>3</v>
      </c>
      <c r="G16" s="1"/>
    </row>
    <row r="17" spans="1:7" ht="15" customHeight="1" x14ac:dyDescent="0.25">
      <c r="A17" s="1"/>
      <c r="B17" s="38" t="s">
        <v>85</v>
      </c>
      <c r="C17" s="38"/>
      <c r="D17" s="38"/>
      <c r="E17" s="38"/>
      <c r="F17" s="38"/>
      <c r="G17" s="1"/>
    </row>
    <row r="18" spans="1:7" ht="15" customHeight="1" x14ac:dyDescent="0.25">
      <c r="A18" s="1"/>
      <c r="B18" s="31" t="s">
        <v>81</v>
      </c>
      <c r="C18" s="40"/>
      <c r="D18" s="40"/>
      <c r="E18" s="8">
        <f>'Fane 8.2. Engangstillæg'!C34</f>
        <v>0</v>
      </c>
      <c r="F18" s="40" t="s">
        <v>3</v>
      </c>
      <c r="G18" s="1"/>
    </row>
    <row r="19" spans="1:7" ht="15" customHeight="1" x14ac:dyDescent="0.25">
      <c r="A19" s="1"/>
      <c r="B19" s="31" t="s">
        <v>82</v>
      </c>
      <c r="C19" s="40"/>
      <c r="D19" s="40"/>
      <c r="E19" s="8">
        <f>'Fane 8.2. Engangstillæg'!E34</f>
        <v>0</v>
      </c>
      <c r="F19" s="40" t="s">
        <v>3</v>
      </c>
      <c r="G19" s="1"/>
    </row>
    <row r="20" spans="1:7" ht="15" customHeight="1" x14ac:dyDescent="0.25">
      <c r="A20" s="1"/>
      <c r="B20" s="42" t="s">
        <v>88</v>
      </c>
      <c r="C20" s="37"/>
      <c r="D20" s="37"/>
      <c r="E20" s="9">
        <f>SUM(E18:E19)</f>
        <v>0</v>
      </c>
      <c r="F20" s="35" t="s">
        <v>3</v>
      </c>
      <c r="G20" s="1"/>
    </row>
    <row r="21" spans="1:7" ht="15" customHeight="1" x14ac:dyDescent="0.25">
      <c r="A21" s="1"/>
      <c r="B21" s="38" t="s">
        <v>107</v>
      </c>
      <c r="C21" s="38"/>
      <c r="D21" s="38"/>
      <c r="E21" s="38"/>
      <c r="F21" s="38"/>
      <c r="G21" s="1"/>
    </row>
    <row r="22" spans="1:7" ht="15" customHeight="1" x14ac:dyDescent="0.25">
      <c r="A22" s="1"/>
      <c r="B22" s="35" t="s">
        <v>159</v>
      </c>
      <c r="C22" s="35"/>
      <c r="D22" s="35"/>
      <c r="E22" s="9">
        <f>'Fane 2.3. Økonomisk ramme 2022'!E22</f>
        <v>147352.43338104151</v>
      </c>
      <c r="F22" s="35" t="s">
        <v>3</v>
      </c>
      <c r="G22" s="1"/>
    </row>
    <row r="23" spans="1:7" x14ac:dyDescent="0.25">
      <c r="A23" s="1"/>
      <c r="B23" s="38" t="s">
        <v>92</v>
      </c>
      <c r="C23" s="38"/>
      <c r="D23" s="38"/>
      <c r="E23" s="10">
        <f>SUM(E12,E14,E16,E20,E22)</f>
        <v>25567560.738214083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NL5F6guvvM/B7vIk9UV0tMB4uLOdIkRD0D8a+DyAEGm8gs4Cutw2vULqCCzwe8bFPpDnnAd8+vMPIuimvQaH9A==" saltValue="KVi1jApyuFg9zT7ZP89AX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10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8" t="s">
        <v>166</v>
      </c>
      <c r="C3" s="68"/>
      <c r="D3" s="68"/>
      <c r="E3" s="68"/>
      <c r="F3" s="68"/>
      <c r="G3" s="1"/>
    </row>
    <row r="4" spans="1:7" ht="29.25" customHeight="1" x14ac:dyDescent="0.25">
      <c r="A4" s="1"/>
      <c r="B4" s="68"/>
      <c r="C4" s="68"/>
      <c r="D4" s="68"/>
      <c r="E4" s="68"/>
      <c r="F4" s="6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73</v>
      </c>
      <c r="C8" s="38"/>
      <c r="D8" s="38"/>
      <c r="E8" s="38"/>
      <c r="F8" s="38"/>
      <c r="G8" s="1"/>
    </row>
    <row r="9" spans="1:7" x14ac:dyDescent="0.25">
      <c r="A9" s="1"/>
      <c r="B9" s="69" t="s">
        <v>71</v>
      </c>
      <c r="C9" s="69"/>
      <c r="D9" s="69"/>
      <c r="E9" s="7">
        <v>18021847.727703389</v>
      </c>
      <c r="F9" s="40" t="s">
        <v>3</v>
      </c>
      <c r="G9" s="1"/>
    </row>
    <row r="10" spans="1:7" x14ac:dyDescent="0.25">
      <c r="A10" s="1"/>
      <c r="B10" s="71" t="s">
        <v>169</v>
      </c>
      <c r="C10" s="71"/>
      <c r="D10" s="71"/>
      <c r="E10" s="7">
        <v>0</v>
      </c>
      <c r="F10" s="40" t="s">
        <v>3</v>
      </c>
      <c r="G10" s="1"/>
    </row>
    <row r="11" spans="1:7" x14ac:dyDescent="0.25">
      <c r="A11" s="1"/>
      <c r="B11" s="70" t="s">
        <v>170</v>
      </c>
      <c r="C11" s="70"/>
      <c r="D11" s="70"/>
      <c r="E11" s="7">
        <v>150847.96289999993</v>
      </c>
      <c r="F11" s="40" t="s">
        <v>3</v>
      </c>
      <c r="G11" s="1"/>
    </row>
    <row r="12" spans="1:7" x14ac:dyDescent="0.25">
      <c r="A12" s="1"/>
      <c r="B12" s="70" t="s">
        <v>171</v>
      </c>
      <c r="C12" s="70"/>
      <c r="D12" s="70"/>
      <c r="E12" s="8">
        <v>0</v>
      </c>
      <c r="F12" s="40" t="s">
        <v>3</v>
      </c>
      <c r="G12" s="1"/>
    </row>
    <row r="13" spans="1:7" x14ac:dyDescent="0.25">
      <c r="A13" s="1"/>
      <c r="B13" s="70" t="s">
        <v>26</v>
      </c>
      <c r="C13" s="70"/>
      <c r="D13" s="70"/>
      <c r="E13" s="8">
        <f>(E9-E10)*'Fane 13. Nøgletal'!C9+E10*'Fane 13. Nøgletal'!C10+SUM(E11:E12)*'Fane 13. Nøgletal'!C11</f>
        <v>231426.79671484302</v>
      </c>
      <c r="F13" s="40" t="s">
        <v>3</v>
      </c>
      <c r="G13" s="1"/>
    </row>
    <row r="14" spans="1:7" x14ac:dyDescent="0.25">
      <c r="A14" s="1"/>
      <c r="B14" s="70" t="s">
        <v>137</v>
      </c>
      <c r="C14" s="70"/>
      <c r="D14" s="70"/>
      <c r="E14" s="8">
        <f>-SUM(E9:E9,E11:E13)*'Fane 13. Nøgletal'!C17</f>
        <v>-312870.08228440996</v>
      </c>
      <c r="F14" s="40" t="s">
        <v>3</v>
      </c>
      <c r="G14" s="1"/>
    </row>
    <row r="15" spans="1:7" x14ac:dyDescent="0.25">
      <c r="A15" s="1"/>
      <c r="B15" s="75" t="s">
        <v>28</v>
      </c>
      <c r="C15" s="75"/>
      <c r="D15" s="75"/>
      <c r="E15" s="9">
        <f>SUM(E9,E11:E14)</f>
        <v>18091252.405033823</v>
      </c>
      <c r="F15" s="35" t="s">
        <v>3</v>
      </c>
      <c r="G15" s="1"/>
    </row>
    <row r="16" spans="1:7" x14ac:dyDescent="0.25">
      <c r="A16" s="1"/>
      <c r="B16" s="76" t="s">
        <v>86</v>
      </c>
      <c r="C16" s="77"/>
      <c r="D16" s="77"/>
      <c r="E16" s="77"/>
      <c r="F16" s="78"/>
      <c r="G16" s="1"/>
    </row>
    <row r="17" spans="1:7" x14ac:dyDescent="0.25">
      <c r="A17" s="1"/>
      <c r="B17" s="79" t="s">
        <v>164</v>
      </c>
      <c r="C17" s="80"/>
      <c r="D17" s="81"/>
      <c r="E17" s="34">
        <v>0</v>
      </c>
      <c r="F17" s="40" t="s">
        <v>3</v>
      </c>
      <c r="G17" s="1"/>
    </row>
    <row r="18" spans="1:7" x14ac:dyDescent="0.25">
      <c r="A18" s="1"/>
      <c r="B18" s="79" t="s">
        <v>167</v>
      </c>
      <c r="C18" s="80"/>
      <c r="D18" s="81"/>
      <c r="E18" s="34">
        <f>-E17*'Fane 13. Nøgletal'!C17</f>
        <v>0</v>
      </c>
      <c r="F18" s="40" t="s">
        <v>3</v>
      </c>
      <c r="G18" s="1"/>
    </row>
    <row r="19" spans="1:7" x14ac:dyDescent="0.25">
      <c r="A19" s="1"/>
      <c r="B19" s="82" t="s">
        <v>168</v>
      </c>
      <c r="C19" s="83"/>
      <c r="D19" s="84"/>
      <c r="E19" s="9">
        <f>SUM(E17:E18)</f>
        <v>0</v>
      </c>
      <c r="F19" s="35" t="s">
        <v>3</v>
      </c>
      <c r="G19" s="1"/>
    </row>
    <row r="20" spans="1:7" x14ac:dyDescent="0.25">
      <c r="A20" s="1"/>
      <c r="B20" s="85" t="s">
        <v>16</v>
      </c>
      <c r="C20" s="85"/>
      <c r="D20" s="85"/>
      <c r="E20" s="38"/>
      <c r="F20" s="38"/>
      <c r="G20" s="1"/>
    </row>
    <row r="21" spans="1:7" x14ac:dyDescent="0.25">
      <c r="A21" s="1"/>
      <c r="B21" s="74" t="s">
        <v>16</v>
      </c>
      <c r="C21" s="74"/>
      <c r="D21" s="74"/>
      <c r="E21" s="9">
        <f>6085114.81494412+766282</f>
        <v>6851396.8149441201</v>
      </c>
      <c r="F21" s="35" t="s">
        <v>3</v>
      </c>
      <c r="G21" s="1"/>
    </row>
    <row r="22" spans="1:7" x14ac:dyDescent="0.25">
      <c r="A22" s="1"/>
      <c r="B22" s="85" t="s">
        <v>85</v>
      </c>
      <c r="C22" s="85"/>
      <c r="D22" s="85"/>
      <c r="E22" s="38"/>
      <c r="F22" s="38"/>
      <c r="G22" s="1"/>
    </row>
    <row r="23" spans="1:7" x14ac:dyDescent="0.25">
      <c r="A23" s="1"/>
      <c r="B23" s="74" t="s">
        <v>81</v>
      </c>
      <c r="C23" s="74"/>
      <c r="D23" s="74"/>
      <c r="E23" s="9">
        <v>1267543.5310835801</v>
      </c>
      <c r="F23" s="35" t="s">
        <v>3</v>
      </c>
      <c r="G23" s="1"/>
    </row>
    <row r="24" spans="1:7" x14ac:dyDescent="0.25">
      <c r="A24" s="1"/>
      <c r="B24" s="38" t="s">
        <v>72</v>
      </c>
      <c r="C24" s="38"/>
      <c r="D24" s="38"/>
      <c r="E24" s="38"/>
      <c r="F24" s="38"/>
      <c r="G24" s="1"/>
    </row>
    <row r="25" spans="1:7" ht="27" customHeight="1" x14ac:dyDescent="0.25">
      <c r="A25" s="1"/>
      <c r="B25" s="73" t="s">
        <v>75</v>
      </c>
      <c r="C25" s="73"/>
      <c r="D25" s="73"/>
      <c r="E25" s="9">
        <v>-762669.40347980312</v>
      </c>
      <c r="F25" s="35" t="s">
        <v>3</v>
      </c>
      <c r="G25" s="1"/>
    </row>
    <row r="26" spans="1:7" x14ac:dyDescent="0.25">
      <c r="A26" s="1"/>
      <c r="B26" s="38" t="s">
        <v>10</v>
      </c>
      <c r="C26" s="38"/>
      <c r="D26" s="38"/>
      <c r="E26" s="38"/>
      <c r="F26" s="38"/>
      <c r="G26" s="1"/>
    </row>
    <row r="27" spans="1:7" x14ac:dyDescent="0.25">
      <c r="A27" s="1"/>
      <c r="B27" s="74" t="s">
        <v>18</v>
      </c>
      <c r="C27" s="74"/>
      <c r="D27" s="74"/>
      <c r="E27" s="9">
        <v>0</v>
      </c>
      <c r="F27" s="35" t="s">
        <v>3</v>
      </c>
      <c r="G27" s="1"/>
    </row>
    <row r="28" spans="1:7" x14ac:dyDescent="0.25">
      <c r="A28" s="1"/>
      <c r="B28" s="38" t="s">
        <v>23</v>
      </c>
      <c r="C28" s="38"/>
      <c r="D28" s="38"/>
      <c r="E28" s="10">
        <f>SUM(E27,E25,E21,E23,E15,E19)</f>
        <v>25447523.347581722</v>
      </c>
      <c r="F28" s="11" t="s">
        <v>3</v>
      </c>
      <c r="G28" s="1"/>
    </row>
    <row r="29" spans="1:7" ht="28.5" customHeight="1" x14ac:dyDescent="0.25">
      <c r="A29" s="1"/>
      <c r="B29" s="72" t="s">
        <v>140</v>
      </c>
      <c r="C29" s="72"/>
      <c r="D29" s="72"/>
      <c r="E29" s="72"/>
      <c r="F29" s="72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3EbVHQPdsJNVAQohRGT+9FG8Qu52oKs6EsmQm1Z346c37tfI0/OPWEoBxZEN4c60NIEpMCLtCptq3Ut/yz/5YQ==" saltValue="/xM1uXwFUbzY7IHz3C+OjA==" spinCount="100000" sheet="1" objects="1" scenarios="1"/>
  <mergeCells count="19">
    <mergeCell ref="B29:F29"/>
    <mergeCell ref="B25:D25"/>
    <mergeCell ref="B27:D27"/>
    <mergeCell ref="B13:D13"/>
    <mergeCell ref="B14:D14"/>
    <mergeCell ref="B15:D15"/>
    <mergeCell ref="B16:F16"/>
    <mergeCell ref="B17:D17"/>
    <mergeCell ref="B18:D18"/>
    <mergeCell ref="B19:D19"/>
    <mergeCell ref="B20:D20"/>
    <mergeCell ref="B21:D21"/>
    <mergeCell ref="B22:D22"/>
    <mergeCell ref="B23:D23"/>
    <mergeCell ref="B3:F4"/>
    <mergeCell ref="B9:D9"/>
    <mergeCell ref="B11:D11"/>
    <mergeCell ref="B12:D12"/>
    <mergeCell ref="B10:D1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6" t="s">
        <v>125</v>
      </c>
      <c r="C3" s="66"/>
      <c r="D3" s="66"/>
      <c r="E3" s="1"/>
      <c r="F3" s="1"/>
    </row>
    <row r="4" spans="1:6" ht="15" customHeight="1" x14ac:dyDescent="0.25">
      <c r="A4" s="1"/>
      <c r="B4" s="66"/>
      <c r="C4" s="66"/>
      <c r="D4" s="6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6" t="s">
        <v>59</v>
      </c>
      <c r="C8" s="77"/>
      <c r="D8" s="78"/>
      <c r="E8" s="1"/>
      <c r="F8" s="1"/>
    </row>
    <row r="9" spans="1:6" ht="15" customHeight="1" x14ac:dyDescent="0.25">
      <c r="A9" s="1"/>
      <c r="B9" s="19" t="s">
        <v>43</v>
      </c>
      <c r="C9" s="35" t="s">
        <v>60</v>
      </c>
      <c r="D9" s="35"/>
      <c r="E9" s="1"/>
      <c r="F9" s="1"/>
    </row>
    <row r="10" spans="1:6" x14ac:dyDescent="0.25">
      <c r="A10" s="1"/>
      <c r="B10" s="30" t="s">
        <v>189</v>
      </c>
      <c r="C10" s="8">
        <v>7950</v>
      </c>
      <c r="D10" s="12" t="s">
        <v>3</v>
      </c>
      <c r="E10" s="1"/>
      <c r="F10" s="1"/>
    </row>
    <row r="11" spans="1:6" ht="26.25" x14ac:dyDescent="0.25">
      <c r="A11" s="1"/>
      <c r="B11" s="108" t="s">
        <v>190</v>
      </c>
      <c r="C11" s="8">
        <v>4604431</v>
      </c>
      <c r="D11" s="12" t="s">
        <v>3</v>
      </c>
      <c r="E11" s="1"/>
      <c r="F11" s="1"/>
    </row>
    <row r="12" spans="1:6" x14ac:dyDescent="0.25">
      <c r="A12" s="1"/>
      <c r="B12" s="108" t="s">
        <v>191</v>
      </c>
      <c r="C12" s="8">
        <v>374431</v>
      </c>
      <c r="D12" s="12" t="s">
        <v>3</v>
      </c>
      <c r="E12" s="1"/>
      <c r="F12" s="1"/>
    </row>
    <row r="13" spans="1:6" x14ac:dyDescent="0.25">
      <c r="A13" s="1"/>
      <c r="B13" s="108" t="s">
        <v>192</v>
      </c>
      <c r="C13" s="8">
        <v>153892</v>
      </c>
      <c r="D13" s="12" t="s">
        <v>3</v>
      </c>
      <c r="E13" s="1"/>
      <c r="F13" s="1"/>
    </row>
    <row r="14" spans="1:6" x14ac:dyDescent="0.25">
      <c r="A14" s="1"/>
      <c r="B14" s="30" t="s">
        <v>193</v>
      </c>
      <c r="C14" s="8">
        <v>339880</v>
      </c>
      <c r="D14" s="12" t="s">
        <v>3</v>
      </c>
      <c r="E14" s="1"/>
      <c r="F14" s="1"/>
    </row>
    <row r="15" spans="1:6" x14ac:dyDescent="0.25">
      <c r="A15" s="1"/>
      <c r="B15" s="46" t="s">
        <v>61</v>
      </c>
      <c r="C15" s="10">
        <f>SUM(C10:C14)</f>
        <v>5480584</v>
      </c>
      <c r="D15" s="11" t="s">
        <v>3</v>
      </c>
      <c r="E15" s="1"/>
      <c r="F15" s="1"/>
    </row>
    <row r="16" spans="1:6" x14ac:dyDescent="0.25">
      <c r="A16" s="1"/>
      <c r="B16" s="46" t="s">
        <v>62</v>
      </c>
      <c r="C16" s="10">
        <f>C15*(1+'Fane 13. Nøgletal'!C12)^2</f>
        <v>5698645.9694445599</v>
      </c>
      <c r="D16" s="11" t="s">
        <v>3</v>
      </c>
      <c r="E16" s="1"/>
      <c r="F16" s="1"/>
    </row>
    <row r="17" spans="1:6" x14ac:dyDescent="0.25">
      <c r="A17" s="1"/>
      <c r="B17" s="14"/>
      <c r="C17" s="13"/>
      <c r="D17" s="13"/>
      <c r="E17" s="1"/>
      <c r="F17" s="1"/>
    </row>
    <row r="18" spans="1:6" x14ac:dyDescent="0.25">
      <c r="A18" s="1"/>
      <c r="B18" s="14"/>
      <c r="C18" s="13"/>
      <c r="D18" s="13"/>
      <c r="E18" s="1"/>
      <c r="F18" s="1"/>
    </row>
    <row r="19" spans="1:6" x14ac:dyDescent="0.25">
      <c r="A19" s="1"/>
      <c r="B19" s="76" t="s">
        <v>160</v>
      </c>
      <c r="C19" s="77"/>
      <c r="D19" s="78"/>
      <c r="E19" s="1"/>
      <c r="F19" s="1"/>
    </row>
    <row r="20" spans="1:6" x14ac:dyDescent="0.25">
      <c r="A20" s="1"/>
      <c r="B20" s="30" t="s">
        <v>126</v>
      </c>
      <c r="C20" s="8">
        <v>766459</v>
      </c>
      <c r="D20" s="12" t="s">
        <v>3</v>
      </c>
      <c r="E20" s="1"/>
      <c r="F20" s="1"/>
    </row>
    <row r="21" spans="1:6" x14ac:dyDescent="0.25">
      <c r="A21" s="1"/>
      <c r="B21" s="30" t="s">
        <v>127</v>
      </c>
      <c r="C21" s="8">
        <v>766638</v>
      </c>
      <c r="D21" s="12" t="s">
        <v>3</v>
      </c>
      <c r="E21" s="1"/>
      <c r="F21" s="1"/>
    </row>
    <row r="22" spans="1:6" x14ac:dyDescent="0.25">
      <c r="A22" s="1"/>
      <c r="B22" s="30" t="s">
        <v>128</v>
      </c>
      <c r="C22" s="8">
        <v>766820</v>
      </c>
      <c r="D22" s="12" t="s">
        <v>3</v>
      </c>
      <c r="E22" s="1"/>
      <c r="F22" s="1"/>
    </row>
    <row r="23" spans="1:6" x14ac:dyDescent="0.25">
      <c r="A23" s="1"/>
      <c r="B23" s="30" t="s">
        <v>129</v>
      </c>
      <c r="C23" s="8">
        <v>767004</v>
      </c>
      <c r="D23" s="12" t="s">
        <v>3</v>
      </c>
      <c r="E23" s="1"/>
      <c r="F23" s="1"/>
    </row>
    <row r="24" spans="1:6" x14ac:dyDescent="0.25">
      <c r="A24" s="1"/>
      <c r="B24" s="76"/>
      <c r="C24" s="77"/>
      <c r="D24" s="78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76" t="s">
        <v>124</v>
      </c>
      <c r="C27" s="77"/>
      <c r="D27" s="78"/>
      <c r="E27" s="1"/>
      <c r="F27" s="1"/>
    </row>
    <row r="28" spans="1:6" x14ac:dyDescent="0.25">
      <c r="A28" s="1"/>
      <c r="B28" s="30" t="s">
        <v>126</v>
      </c>
      <c r="C28" s="8">
        <v>0</v>
      </c>
      <c r="D28" s="12" t="s">
        <v>3</v>
      </c>
      <c r="E28" s="1"/>
      <c r="F28" s="1"/>
    </row>
    <row r="29" spans="1:6" x14ac:dyDescent="0.25">
      <c r="A29" s="1"/>
      <c r="B29" s="30" t="s">
        <v>127</v>
      </c>
      <c r="C29" s="8">
        <v>0</v>
      </c>
      <c r="D29" s="12" t="s">
        <v>3</v>
      </c>
      <c r="E29" s="1"/>
      <c r="F29" s="1"/>
    </row>
    <row r="30" spans="1:6" x14ac:dyDescent="0.25">
      <c r="A30" s="1"/>
      <c r="B30" s="30" t="s">
        <v>128</v>
      </c>
      <c r="C30" s="8">
        <v>0</v>
      </c>
      <c r="D30" s="12" t="s">
        <v>3</v>
      </c>
      <c r="E30" s="1"/>
      <c r="F30" s="1"/>
    </row>
    <row r="31" spans="1:6" x14ac:dyDescent="0.25">
      <c r="A31" s="1"/>
      <c r="B31" s="30" t="s">
        <v>129</v>
      </c>
      <c r="C31" s="8">
        <v>0</v>
      </c>
      <c r="D31" s="12" t="s">
        <v>3</v>
      </c>
      <c r="E31" s="1"/>
      <c r="F31" s="1"/>
    </row>
    <row r="32" spans="1:6" x14ac:dyDescent="0.25">
      <c r="A32" s="1"/>
      <c r="B32" s="76"/>
      <c r="C32" s="77"/>
      <c r="D32" s="78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jj6Yc7JRDRhvDQ8wvb7RI5xpGam4H2letqOUpIB/LXYnQIpryVJ1KonVxiW43MagLbM/ZOHj9ZgLuG3pWXpQGQ==" saltValue="9jdaCeWrZXat38RNYxwazA==" spinCount="100000" sheet="1" objects="1" scenarios="1"/>
  <mergeCells count="6">
    <mergeCell ref="B32:D32"/>
    <mergeCell ref="B3:D4"/>
    <mergeCell ref="B8:D8"/>
    <mergeCell ref="B19:D19"/>
    <mergeCell ref="B27:D27"/>
    <mergeCell ref="B24:D24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68" t="s">
        <v>142</v>
      </c>
      <c r="C3" s="68"/>
      <c r="D3" s="68"/>
      <c r="E3" s="68"/>
      <c r="F3" s="68"/>
      <c r="G3" s="1"/>
    </row>
    <row r="4" spans="1:7" ht="15" customHeight="1" x14ac:dyDescent="0.25">
      <c r="A4" s="1"/>
      <c r="B4" s="68"/>
      <c r="C4" s="68"/>
      <c r="D4" s="68"/>
      <c r="E4" s="68"/>
      <c r="F4" s="68"/>
      <c r="G4" s="1"/>
    </row>
    <row r="5" spans="1:7" ht="15" customHeight="1" x14ac:dyDescent="0.25">
      <c r="A5" s="1"/>
      <c r="B5" s="39"/>
      <c r="C5" s="39"/>
      <c r="D5" s="39"/>
      <c r="E5" s="39"/>
      <c r="F5" s="39"/>
      <c r="G5" s="1"/>
    </row>
    <row r="6" spans="1:7" ht="15" customHeight="1" x14ac:dyDescent="0.25">
      <c r="A6" s="1"/>
      <c r="B6" s="86" t="s">
        <v>47</v>
      </c>
      <c r="C6" s="86"/>
      <c r="D6" s="86"/>
      <c r="E6" s="86"/>
      <c r="F6" s="86"/>
      <c r="G6" s="1"/>
    </row>
    <row r="7" spans="1:7" ht="15" customHeight="1" x14ac:dyDescent="0.25">
      <c r="A7" s="1"/>
      <c r="B7" s="87" t="s">
        <v>45</v>
      </c>
      <c r="C7" s="87"/>
      <c r="D7" s="87"/>
      <c r="E7" s="8">
        <v>-690081.24340000004</v>
      </c>
      <c r="F7" s="12" t="s">
        <v>3</v>
      </c>
      <c r="G7" s="1"/>
    </row>
    <row r="8" spans="1:7" ht="15" customHeight="1" x14ac:dyDescent="0.25">
      <c r="A8" s="1"/>
      <c r="B8" s="87" t="s">
        <v>46</v>
      </c>
      <c r="C8" s="87"/>
      <c r="D8" s="87"/>
      <c r="E8" s="8">
        <v>2120780.9635207802</v>
      </c>
      <c r="F8" s="12" t="s">
        <v>3</v>
      </c>
      <c r="G8" s="1"/>
    </row>
    <row r="9" spans="1:7" ht="15" customHeight="1" x14ac:dyDescent="0.25">
      <c r="A9" s="1"/>
      <c r="B9" s="82" t="s">
        <v>157</v>
      </c>
      <c r="C9" s="83"/>
      <c r="D9" s="84"/>
      <c r="E9" s="9">
        <f>SUM(E7:E8)</f>
        <v>1430699.7201207802</v>
      </c>
      <c r="F9" s="15" t="s">
        <v>3</v>
      </c>
      <c r="G9" s="1"/>
    </row>
    <row r="10" spans="1:7" ht="15" customHeight="1" x14ac:dyDescent="0.25">
      <c r="A10" s="1"/>
      <c r="B10" s="76"/>
      <c r="C10" s="77"/>
      <c r="D10" s="77"/>
      <c r="E10" s="77"/>
      <c r="F10" s="78"/>
      <c r="G10" s="1"/>
    </row>
    <row r="11" spans="1:7" ht="27" customHeight="1" x14ac:dyDescent="0.25">
      <c r="A11" s="1"/>
      <c r="B11" s="72" t="s">
        <v>135</v>
      </c>
      <c r="C11" s="72"/>
      <c r="D11" s="72"/>
      <c r="E11" s="72"/>
      <c r="F11" s="72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6" t="s">
        <v>113</v>
      </c>
      <c r="C14" s="86"/>
      <c r="D14" s="86"/>
      <c r="E14" s="86"/>
      <c r="F14" s="86"/>
      <c r="G14" s="1"/>
    </row>
    <row r="15" spans="1:7" x14ac:dyDescent="0.25">
      <c r="A15" s="1"/>
      <c r="B15" s="87" t="s">
        <v>114</v>
      </c>
      <c r="C15" s="87"/>
      <c r="D15" s="87"/>
      <c r="E15" s="8">
        <v>24714805.594999999</v>
      </c>
      <c r="F15" s="12" t="s">
        <v>3</v>
      </c>
      <c r="G15" s="1"/>
    </row>
    <row r="16" spans="1:7" x14ac:dyDescent="0.25">
      <c r="A16" s="1"/>
      <c r="B16" s="87" t="s">
        <v>115</v>
      </c>
      <c r="C16" s="87"/>
      <c r="D16" s="87"/>
      <c r="E16" s="8">
        <v>23632462</v>
      </c>
      <c r="F16" s="12" t="s">
        <v>3</v>
      </c>
      <c r="G16" s="1"/>
    </row>
    <row r="17" spans="1:7" x14ac:dyDescent="0.25">
      <c r="A17" s="1"/>
      <c r="B17" s="87" t="s">
        <v>44</v>
      </c>
      <c r="C17" s="87"/>
      <c r="D17" s="87"/>
      <c r="E17" s="8">
        <v>0</v>
      </c>
      <c r="F17" s="12" t="s">
        <v>3</v>
      </c>
      <c r="G17" s="1"/>
    </row>
    <row r="18" spans="1:7" x14ac:dyDescent="0.25">
      <c r="A18" s="1"/>
      <c r="B18" s="88" t="s">
        <v>158</v>
      </c>
      <c r="C18" s="88"/>
      <c r="D18" s="88"/>
      <c r="E18" s="9">
        <f>E15-(E16-E17)</f>
        <v>1082343.5949999988</v>
      </c>
      <c r="F18" s="15" t="s">
        <v>3</v>
      </c>
      <c r="G18" s="1"/>
    </row>
    <row r="19" spans="1:7" x14ac:dyDescent="0.25">
      <c r="A19" s="1"/>
      <c r="B19" s="89"/>
      <c r="C19" s="90"/>
      <c r="D19" s="90"/>
      <c r="E19" s="90"/>
      <c r="F19" s="91"/>
      <c r="G19" s="1"/>
    </row>
    <row r="20" spans="1:7" ht="28.5" customHeight="1" x14ac:dyDescent="0.25">
      <c r="A20" s="1"/>
      <c r="B20" s="72" t="s">
        <v>134</v>
      </c>
      <c r="C20" s="72"/>
      <c r="D20" s="72"/>
      <c r="E20" s="72"/>
      <c r="F20" s="72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6" t="s">
        <v>67</v>
      </c>
      <c r="C23" s="86"/>
      <c r="D23" s="86"/>
      <c r="E23" s="86"/>
      <c r="F23" s="86"/>
      <c r="G23" s="1"/>
    </row>
    <row r="24" spans="1:7" x14ac:dyDescent="0.25">
      <c r="A24" s="1"/>
      <c r="B24" s="87" t="s">
        <v>68</v>
      </c>
      <c r="C24" s="87"/>
      <c r="D24" s="87"/>
      <c r="E24" s="8">
        <v>23130744.418403387</v>
      </c>
      <c r="F24" s="12" t="s">
        <v>3</v>
      </c>
      <c r="G24" s="1"/>
    </row>
    <row r="25" spans="1:7" x14ac:dyDescent="0.25">
      <c r="A25" s="1"/>
      <c r="B25" s="87" t="s">
        <v>69</v>
      </c>
      <c r="C25" s="87"/>
      <c r="D25" s="87"/>
      <c r="E25" s="8">
        <v>25054378</v>
      </c>
      <c r="F25" s="12" t="s">
        <v>3</v>
      </c>
      <c r="G25" s="1"/>
    </row>
    <row r="26" spans="1:7" x14ac:dyDescent="0.25">
      <c r="A26" s="1"/>
      <c r="B26" s="87" t="s">
        <v>44</v>
      </c>
      <c r="C26" s="87"/>
      <c r="D26" s="87"/>
      <c r="E26" s="8">
        <v>0</v>
      </c>
      <c r="F26" s="12" t="s">
        <v>3</v>
      </c>
      <c r="G26" s="1"/>
    </row>
    <row r="27" spans="1:7" x14ac:dyDescent="0.25">
      <c r="A27" s="1"/>
      <c r="B27" s="88" t="s">
        <v>158</v>
      </c>
      <c r="C27" s="88"/>
      <c r="D27" s="88"/>
      <c r="E27" s="9">
        <f>E24-(E25-E26)</f>
        <v>-1923633.5815966129</v>
      </c>
      <c r="F27" s="15" t="s">
        <v>3</v>
      </c>
      <c r="G27" s="1"/>
    </row>
    <row r="28" spans="1:7" x14ac:dyDescent="0.25">
      <c r="A28" s="1"/>
      <c r="B28" s="76"/>
      <c r="C28" s="77"/>
      <c r="D28" s="77"/>
      <c r="E28" s="77"/>
      <c r="F28" s="78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6" t="s">
        <v>136</v>
      </c>
      <c r="C31" s="86"/>
      <c r="D31" s="86"/>
      <c r="E31" s="86"/>
      <c r="F31" s="86"/>
      <c r="G31" s="1"/>
    </row>
    <row r="32" spans="1:7" x14ac:dyDescent="0.25">
      <c r="A32" s="1"/>
      <c r="B32" s="71" t="s">
        <v>47</v>
      </c>
      <c r="C32" s="71"/>
      <c r="D32" s="71"/>
      <c r="E32" s="8">
        <f>E9</f>
        <v>1430699.7201207802</v>
      </c>
      <c r="F32" s="12" t="s">
        <v>3</v>
      </c>
      <c r="G32" s="1"/>
    </row>
    <row r="33" spans="1:7" x14ac:dyDescent="0.25">
      <c r="A33" s="1"/>
      <c r="B33" s="71" t="s">
        <v>156</v>
      </c>
      <c r="C33" s="71"/>
      <c r="D33" s="71"/>
      <c r="E33" s="8">
        <f>IF(E18+E27&lt;0,E18+E27,0)</f>
        <v>-841289.98659661412</v>
      </c>
      <c r="F33" s="12" t="s">
        <v>3</v>
      </c>
      <c r="G33" s="1"/>
    </row>
    <row r="34" spans="1:7" x14ac:dyDescent="0.25">
      <c r="A34" s="1"/>
      <c r="B34" s="71" t="s">
        <v>145</v>
      </c>
      <c r="C34" s="71"/>
      <c r="D34" s="71"/>
      <c r="E34" s="8">
        <v>4</v>
      </c>
      <c r="F34" s="12" t="s">
        <v>27</v>
      </c>
      <c r="G34" s="1"/>
    </row>
    <row r="35" spans="1:7" x14ac:dyDescent="0.25">
      <c r="A35" s="1"/>
      <c r="B35" s="88" t="s">
        <v>177</v>
      </c>
      <c r="C35" s="88"/>
      <c r="D35" s="88"/>
      <c r="E35" s="9">
        <f>SUM(E32:E33)/E34</f>
        <v>147352.43338104151</v>
      </c>
      <c r="F35" s="15" t="s">
        <v>3</v>
      </c>
      <c r="G35" s="1"/>
    </row>
    <row r="36" spans="1:7" x14ac:dyDescent="0.25">
      <c r="A36" s="1"/>
      <c r="B36" s="86"/>
      <c r="C36" s="86"/>
      <c r="D36" s="86"/>
      <c r="E36" s="86"/>
      <c r="F36" s="86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N7m5KOVep0DZiqsRygZUaI5LlNgF7xPMhSHTp0QrDse4MbySt3dP5lRojJl88lQut9xd+pws0xNkJ7tgDx/uHg==" saltValue="YcgjTsJOfvhhfkfcmnSTSA==" spinCount="100000" sheet="1" objects="1" scenarios="1"/>
  <mergeCells count="26"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68" t="s">
        <v>178</v>
      </c>
      <c r="C3" s="68"/>
      <c r="D3" s="68"/>
      <c r="E3" s="68"/>
      <c r="F3" s="68"/>
      <c r="G3" s="1"/>
    </row>
    <row r="4" spans="1:7" ht="15" customHeight="1" x14ac:dyDescent="0.25">
      <c r="A4" s="1"/>
      <c r="B4" s="68"/>
      <c r="C4" s="68"/>
      <c r="D4" s="68"/>
      <c r="E4" s="68"/>
      <c r="F4" s="6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86" t="s">
        <v>110</v>
      </c>
      <c r="C9" s="86"/>
      <c r="D9" s="86"/>
      <c r="E9" s="86"/>
      <c r="F9" s="86"/>
      <c r="G9" s="1"/>
    </row>
    <row r="10" spans="1:7" x14ac:dyDescent="0.25">
      <c r="A10" s="1"/>
      <c r="B10" s="72" t="s">
        <v>131</v>
      </c>
      <c r="C10" s="72"/>
      <c r="D10" s="72"/>
      <c r="E10" s="7">
        <v>0</v>
      </c>
      <c r="F10" s="40" t="s">
        <v>3</v>
      </c>
      <c r="G10" s="1"/>
    </row>
    <row r="11" spans="1:7" x14ac:dyDescent="0.25">
      <c r="A11" s="1"/>
      <c r="B11" s="87" t="s">
        <v>132</v>
      </c>
      <c r="C11" s="87"/>
      <c r="D11" s="87"/>
      <c r="E11" s="7">
        <v>0</v>
      </c>
      <c r="F11" s="40" t="s">
        <v>3</v>
      </c>
      <c r="G11" s="1"/>
    </row>
    <row r="12" spans="1:7" x14ac:dyDescent="0.25">
      <c r="A12" s="1"/>
      <c r="B12" s="88" t="s">
        <v>133</v>
      </c>
      <c r="C12" s="88"/>
      <c r="D12" s="88"/>
      <c r="E12" s="9">
        <f>E11-E10</f>
        <v>0</v>
      </c>
      <c r="F12" s="35" t="s">
        <v>3</v>
      </c>
      <c r="G12" s="1"/>
    </row>
    <row r="13" spans="1:7" x14ac:dyDescent="0.25">
      <c r="A13" s="1"/>
      <c r="B13" s="86" t="s">
        <v>111</v>
      </c>
      <c r="C13" s="86"/>
      <c r="D13" s="86"/>
      <c r="E13" s="86"/>
      <c r="F13" s="86"/>
      <c r="G13" s="1"/>
    </row>
    <row r="14" spans="1:7" x14ac:dyDescent="0.25">
      <c r="A14" s="1"/>
      <c r="B14" s="87" t="s">
        <v>154</v>
      </c>
      <c r="C14" s="87"/>
      <c r="D14" s="87"/>
      <c r="E14" s="8">
        <v>0</v>
      </c>
      <c r="F14" s="40" t="s">
        <v>3</v>
      </c>
      <c r="G14" s="1"/>
    </row>
    <row r="15" spans="1:7" x14ac:dyDescent="0.25">
      <c r="A15" s="1"/>
      <c r="B15" s="87" t="s">
        <v>155</v>
      </c>
      <c r="C15" s="87"/>
      <c r="D15" s="87"/>
      <c r="E15" s="8">
        <v>365254</v>
      </c>
      <c r="F15" s="40" t="s">
        <v>3</v>
      </c>
      <c r="G15" s="1"/>
    </row>
    <row r="16" spans="1:7" x14ac:dyDescent="0.25">
      <c r="A16" s="1"/>
      <c r="B16" s="88" t="s">
        <v>133</v>
      </c>
      <c r="C16" s="88"/>
      <c r="D16" s="88"/>
      <c r="E16" s="9">
        <f>E15-E14</f>
        <v>365254</v>
      </c>
      <c r="F16" s="35" t="s">
        <v>3</v>
      </c>
      <c r="G16" s="1"/>
    </row>
    <row r="17" spans="1:7" ht="15" customHeight="1" x14ac:dyDescent="0.25">
      <c r="A17" s="1"/>
      <c r="B17" s="86" t="s">
        <v>106</v>
      </c>
      <c r="C17" s="86"/>
      <c r="D17" s="86"/>
      <c r="E17" s="86"/>
      <c r="F17" s="86"/>
      <c r="G17" s="1"/>
    </row>
    <row r="18" spans="1:7" ht="28.15" customHeight="1" x14ac:dyDescent="0.25">
      <c r="A18" s="1"/>
      <c r="B18" s="79" t="s">
        <v>184</v>
      </c>
      <c r="C18" s="80"/>
      <c r="D18" s="81"/>
      <c r="E18" s="8">
        <v>0</v>
      </c>
      <c r="F18" s="40" t="s">
        <v>3</v>
      </c>
      <c r="G18" s="1"/>
    </row>
    <row r="19" spans="1:7" ht="28.5" customHeight="1" x14ac:dyDescent="0.25">
      <c r="A19" s="1"/>
      <c r="B19" s="73" t="s">
        <v>112</v>
      </c>
      <c r="C19" s="73"/>
      <c r="D19" s="73"/>
      <c r="E19" s="9">
        <f>IF('Fane 3. Omkostninger i ØR2019'!E25-'Fane 3. Omkostninger i ØR2019'!E25/(1+'Fane 13. Nøgletal'!C11)^2+E18&lt;0,-('Fane 3. Omkostninger i ØR2019'!E25-'Fane 3. Omkostninger i ØR2019'!E25/(1+'Fane 13. Nøgletal'!C11)^2+E18),0)</f>
        <v>25139.167970768875</v>
      </c>
      <c r="F19" s="35" t="s">
        <v>3</v>
      </c>
      <c r="G19" s="1"/>
    </row>
    <row r="20" spans="1:7" x14ac:dyDescent="0.25">
      <c r="A20" s="1"/>
      <c r="B20" s="38" t="s">
        <v>123</v>
      </c>
      <c r="C20" s="38"/>
      <c r="D20" s="38"/>
      <c r="E20" s="10">
        <f>E12+E16+E19</f>
        <v>390393.16797076887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H+xClRrdn7IMh1HszsYCHccfBDFim6gAL/e1sEXeHs1j+mWzYsF1DjWxOYWer0GoXqaRUiKDKH92dzLky0zCeA==" saltValue="cTWeRoCNqFGZn2Tb3EuxgA==" spinCount="100000" sheet="1" objects="1" scenarios="1"/>
  <mergeCells count="12">
    <mergeCell ref="B13:F13"/>
    <mergeCell ref="B17:F17"/>
    <mergeCell ref="B16:D16"/>
    <mergeCell ref="B19:D19"/>
    <mergeCell ref="B3:F4"/>
    <mergeCell ref="B10:D10"/>
    <mergeCell ref="B11:D11"/>
    <mergeCell ref="B14:D14"/>
    <mergeCell ref="B15:D15"/>
    <mergeCell ref="B9:F9"/>
    <mergeCell ref="B12:D12"/>
    <mergeCell ref="B18:D18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Periodevise driftsomk.</vt:lpstr>
      <vt:lpstr>Fane 10. Tilknyttet aktivitet</vt:lpstr>
      <vt:lpstr>Fane 11. Bortfald</vt:lpstr>
      <vt:lpstr>Fane 12. Hist. over-underdæk.</vt:lpstr>
      <vt:lpstr>Fane 13.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2019-08-23T09:17:57Z</dcterms:modified>
</cp:coreProperties>
</file>