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estforsyning Spildevand AS (S10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5" i="11" l="1"/>
  <c r="E14" i="11"/>
  <c r="E13" i="11"/>
  <c r="E12" i="11"/>
  <c r="E11" i="11"/>
  <c r="E19" i="40" l="1"/>
  <c r="E16" i="40" l="1"/>
  <c r="E12" i="40"/>
  <c r="E16" i="11" l="1"/>
  <c r="E17" i="11"/>
  <c r="E10" i="11"/>
  <c r="C11" i="2" l="1"/>
  <c r="C11" i="15" s="1"/>
  <c r="C10" i="2"/>
  <c r="C10" i="15" s="1"/>
  <c r="G7" i="30" l="1"/>
  <c r="E23" i="27" l="1"/>
  <c r="E24" i="27" s="1"/>
  <c r="E29" i="20" l="1"/>
  <c r="E23" i="20"/>
  <c r="E17" i="20"/>
  <c r="E11" i="20"/>
  <c r="E21" i="32" l="1"/>
  <c r="E12" i="32"/>
  <c r="E26" i="32" l="1"/>
  <c r="E20" i="40" l="1"/>
  <c r="C34" i="2" s="1"/>
  <c r="E28" i="20"/>
  <c r="E16" i="20"/>
  <c r="E22" i="20"/>
  <c r="E24" i="20" s="1"/>
  <c r="C19" i="22" s="1"/>
  <c r="E10" i="20"/>
  <c r="E12" i="20" s="1"/>
  <c r="E18" i="20" l="1"/>
  <c r="C24" i="15" s="1"/>
  <c r="C26" i="2"/>
  <c r="E30" i="20"/>
  <c r="C19" i="23" s="1"/>
  <c r="E29" i="21" l="1"/>
  <c r="E30" i="21" s="1"/>
  <c r="G45" i="36" s="1"/>
  <c r="C29" i="21"/>
  <c r="C30" i="21" s="1"/>
  <c r="G47" i="30" s="1"/>
  <c r="E23" i="21"/>
  <c r="E24" i="21" s="1"/>
  <c r="G39" i="36" s="1"/>
  <c r="C23" i="21"/>
  <c r="C24" i="21" s="1"/>
  <c r="C9" i="22" s="1"/>
  <c r="E17" i="21"/>
  <c r="E18" i="21" s="1"/>
  <c r="G33" i="36" s="1"/>
  <c r="C17" i="21"/>
  <c r="C18" i="21" s="1"/>
  <c r="G35" i="30" s="1"/>
  <c r="G41" i="30" l="1"/>
  <c r="C10" i="23"/>
  <c r="C10" i="22"/>
  <c r="C14" i="15"/>
  <c r="C9" i="23"/>
  <c r="C15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37" i="39"/>
  <c r="C36" i="39"/>
  <c r="C38" i="39" s="1"/>
  <c r="C21" i="23" s="1"/>
  <c r="E21" i="39"/>
  <c r="E20" i="39"/>
  <c r="E37" i="39"/>
  <c r="E36" i="39"/>
  <c r="C13" i="39"/>
  <c r="C12" i="39"/>
  <c r="C29" i="39"/>
  <c r="C28" i="39"/>
  <c r="C30" i="39" s="1"/>
  <c r="C21" i="22" s="1"/>
  <c r="E29" i="39"/>
  <c r="E28" i="39"/>
  <c r="C22" i="39" l="1"/>
  <c r="C26" i="15" s="1"/>
  <c r="E22" i="39"/>
  <c r="C27" i="15" s="1"/>
  <c r="E30" i="39"/>
  <c r="C22" i="22" s="1"/>
  <c r="C23" i="22" s="1"/>
  <c r="E38" i="39"/>
  <c r="C22" i="23" s="1"/>
  <c r="C23" i="23" s="1"/>
  <c r="E14" i="39"/>
  <c r="C29" i="2" s="1"/>
  <c r="C14" i="39"/>
  <c r="C28" i="2" s="1"/>
  <c r="G12" i="10"/>
  <c r="G14" i="10" s="1"/>
  <c r="C28" i="15" l="1"/>
  <c r="C30" i="2"/>
  <c r="G24" i="36"/>
  <c r="G31" i="36" s="1"/>
  <c r="G26" i="30"/>
  <c r="G33" i="30" s="1"/>
  <c r="G6" i="36" l="1"/>
  <c r="G10" i="36" l="1"/>
  <c r="G13" i="36" l="1"/>
  <c r="G17" i="36" s="1"/>
  <c r="G23" i="36" s="1"/>
  <c r="G11" i="30"/>
  <c r="G15" i="30" l="1"/>
  <c r="G19" i="30" s="1"/>
  <c r="G25" i="30" s="1"/>
  <c r="G19" i="36"/>
  <c r="E19" i="27" s="1"/>
  <c r="G21" i="30" l="1"/>
  <c r="E18" i="27" s="1"/>
  <c r="E16" i="27" l="1"/>
  <c r="E17" i="27" s="1"/>
  <c r="E20" i="27" l="1"/>
  <c r="E31" i="27" s="1"/>
  <c r="C9" i="2" l="1"/>
  <c r="E28" i="32"/>
  <c r="C25" i="22" s="1"/>
  <c r="C25" i="23" l="1"/>
  <c r="F18" i="11" l="1"/>
  <c r="C10" i="37" s="1"/>
  <c r="C12" i="37" s="1"/>
  <c r="C13" i="37" s="1"/>
  <c r="C12" i="2" s="1"/>
  <c r="G18" i="11"/>
  <c r="E11" i="21" l="1"/>
  <c r="C11" i="21"/>
  <c r="E11" i="29"/>
  <c r="C11" i="29"/>
  <c r="C16" i="19"/>
  <c r="C17" i="19" s="1"/>
  <c r="E12" i="29" l="1"/>
  <c r="C17" i="2" s="1"/>
  <c r="C12" i="29"/>
  <c r="C16" i="2" s="1"/>
  <c r="C12" i="21"/>
  <c r="C14" i="2" s="1"/>
  <c r="E12" i="21"/>
  <c r="C15" i="2" s="1"/>
  <c r="C17" i="22"/>
  <c r="C22" i="15"/>
  <c r="C24" i="2"/>
  <c r="C17" i="23"/>
  <c r="C12" i="15" l="1"/>
  <c r="G27" i="30"/>
  <c r="G34" i="30" l="1"/>
  <c r="G32" i="30"/>
  <c r="G36" i="30" s="1"/>
  <c r="G40" i="30" s="1"/>
  <c r="G28" i="30"/>
  <c r="C20" i="2" s="1"/>
  <c r="E18" i="11" l="1"/>
  <c r="E10" i="37" s="1"/>
  <c r="E12" i="37" s="1"/>
  <c r="E13" i="37" s="1"/>
  <c r="C13" i="2" s="1"/>
  <c r="C13" i="15" s="1"/>
  <c r="C32" i="2"/>
  <c r="G25" i="36" l="1"/>
  <c r="G30" i="36" s="1"/>
  <c r="C18" i="2"/>
  <c r="C19" i="2" s="1"/>
  <c r="C18" i="15"/>
  <c r="G32" i="36" l="1"/>
  <c r="G26" i="36"/>
  <c r="G42" i="30"/>
  <c r="G34" i="36" l="1"/>
  <c r="C13" i="22"/>
  <c r="G38" i="36" l="1"/>
  <c r="G40" i="36" s="1"/>
  <c r="G46" i="30"/>
  <c r="C21" i="2"/>
  <c r="C22" i="2" l="1"/>
  <c r="G48" i="30"/>
  <c r="C13" i="23" s="1"/>
  <c r="G44" i="36"/>
  <c r="G46" i="36" s="1"/>
  <c r="C35" i="2" l="1"/>
  <c r="C9" i="15"/>
  <c r="C16" i="15" s="1"/>
  <c r="C19" i="15"/>
  <c r="C14" i="22"/>
  <c r="C17" i="15" l="1"/>
  <c r="C20" i="15" l="1"/>
  <c r="C14" i="23"/>
  <c r="C29" i="15" l="1"/>
  <c r="C8" i="22"/>
  <c r="C11" i="22" s="1"/>
  <c r="C12" i="22" l="1"/>
  <c r="C15" i="22" s="1"/>
  <c r="C26" i="22" s="1"/>
  <c r="C8" i="23" l="1"/>
  <c r="C11" i="23" s="1"/>
  <c r="C12" i="23" s="1"/>
  <c r="C15" i="23" l="1"/>
  <c r="C26" i="23" s="1"/>
</calcChain>
</file>

<file path=xl/sharedStrings.xml><?xml version="1.0" encoding="utf-8"?>
<sst xmlns="http://schemas.openxmlformats.org/spreadsheetml/2006/main" count="711" uniqueCount="284">
  <si>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</si>
  <si>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</si>
  <si>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</si>
  <si>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</si>
  <si>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</si>
  <si>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</si>
  <si>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</si>
  <si>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</si>
  <si>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</si>
  <si>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</si>
  <si>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</si>
  <si>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</si>
  <si>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</si>
  <si>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</si>
  <si>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</si>
  <si>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</si>
  <si>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</si>
  <si>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</si>
  <si>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</si>
  <si>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</si>
  <si>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</si>
  <si>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</si>
  <si>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</si>
  <si>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</si>
  <si>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</si>
  <si>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</si>
  <si>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</si>
  <si>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</si>
  <si>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</si>
  <si>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</si>
  <si>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</si>
  <si>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</si>
  <si>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</si>
  <si>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</si>
  <si>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</si>
  <si>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</si>
  <si>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</si>
  <si>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</si>
  <si>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</si>
  <si>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</si>
  <si>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</si>
  <si>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</si>
  <si>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</si>
  <si>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</si>
  <si>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</si>
  <si>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</si>
  <si>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</si>
  <si>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</si>
  <si>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</si>
  <si>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</si>
  <si>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</si>
  <si>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</si>
  <si>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</si>
  <si>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</si>
  <si>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</si>
  <si>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</si>
  <si>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</si>
  <si>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</si>
  <si>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</si>
  <si>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</si>
  <si>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</si>
  <si>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</si>
  <si>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</si>
  <si>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</si>
  <si>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</si>
  <si>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</si>
  <si>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</si>
  <si>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</si>
  <si>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</si>
  <si>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</si>
  <si>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</si>
  <si>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</si>
  <si>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</si>
  <si>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</si>
  <si>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</si>
  <si>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</si>
  <si>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</si>
  <si>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</si>
  <si>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</si>
  <si>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</si>
  <si>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</si>
  <si>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</si>
  <si>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</si>
  <si>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</si>
  <si>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</si>
  <si>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</si>
  <si>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</si>
  <si>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</si>
  <si>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</si>
  <si>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</si>
  <si>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</si>
  <si>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</si>
  <si>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</si>
  <si>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</si>
  <si>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</si>
  <si>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</si>
  <si>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</si>
  <si>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</si>
  <si>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</si>
  <si>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</si>
  <si>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</si>
  <si>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</si>
  <si>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</si>
  <si>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</si>
  <si>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</si>
  <si>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</si>
  <si>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</si>
  <si>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</si>
  <si>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</si>
  <si>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</si>
  <si>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</si>
  <si>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</si>
  <si>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</si>
  <si>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</si>
  <si>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</si>
  <si>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</si>
  <si>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</si>
  <si>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</si>
  <si>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</si>
  <si>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</si>
  <si>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</si>
  <si>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</si>
  <si>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</si>
  <si>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</si>
  <si>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</si>
  <si>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</si>
  <si>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</si>
  <si>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</si>
  <si>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</si>
  <si>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</si>
  <si>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</si>
  <si>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</si>
  <si>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</si>
  <si>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</si>
  <si>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</si>
  <si>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</si>
  <si>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</si>
  <si>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</si>
  <si>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</si>
  <si>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</si>
  <si>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</si>
  <si>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</si>
  <si>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</si>
  <si>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</si>
  <si>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</si>
  <si>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</si>
  <si>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</si>
  <si>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</si>
  <si>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</si>
  <si>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</si>
  <si>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</si>
  <si>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</si>
  <si>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</si>
  <si>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</si>
  <si>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</si>
  <si>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</si>
  <si>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</si>
  <si>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</si>
  <si>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</si>
  <si>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</si>
  <si>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</si>
  <si>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</si>
  <si>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</si>
  <si>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</si>
  <si>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</si>
  <si>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</si>
  <si>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</si>
  <si>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</si>
  <si>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</si>
  <si>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</si>
  <si>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</si>
  <si>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</si>
  <si>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</si>
  <si>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</si>
  <si>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</si>
  <si>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</si>
  <si>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</si>
  <si>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</si>
  <si>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</si>
  <si>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</si>
  <si>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</si>
  <si>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</si>
  <si>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</si>
  <si>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</si>
  <si>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</si>
  <si>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</si>
  <si>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</si>
  <si>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</si>
  <si>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</si>
  <si>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</si>
  <si>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</si>
  <si>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</si>
  <si>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</si>
  <si>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</si>
  <si>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</si>
  <si>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</si>
  <si>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</si>
  <si>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</si>
  <si>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</si>
  <si>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</si>
  <si>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</si>
  <si>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Til indregning i de økonomiske rammer for 2022-2025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</si>
  <si>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</si>
  <si>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</si>
  <si>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</si>
  <si>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 xml:space="preserve"> - Heraf nye omkostninger i ØR19 - Drift</t>
  </si>
  <si>
    <t xml:space="preserve"> - Heraf nye omkostninger i ØR19 - Anlæg</t>
  </si>
  <si>
    <t>Nøgletal</t>
  </si>
  <si>
    <t>Fane 15: Nøgletal</t>
  </si>
  <si>
    <t xml:space="preserve">Note: Denne opgørelse er taget fra jeres statusmeddelelse for den økonomiske ramme for 2019. I kan derfor ikke komme med høringssvar til denne opgørelse. </t>
  </si>
  <si>
    <t>Fradrag i den økonomiske ramme for 2022-2025 i alt</t>
  </si>
  <si>
    <t>Fradrag for kontrol med overholdelse af indtægtsrammen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</si>
  <si>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</si>
  <si>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</si>
  <si>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>Til statusmeddelelse for 2020 og 2021</t>
  </si>
  <si>
    <t>Fane 2.3: Samlet økonomisk ramme for 2022</t>
  </si>
  <si>
    <t>Fane 2.4: Samlet økonomisk ramme for 2023</t>
  </si>
  <si>
    <t xml:space="preserve"> - Heraf nye omkostninger i ØR20 - Anlæg</t>
  </si>
  <si>
    <t>Tidligere godkendt tillæg indregnet i den økonomiske ramme for 2018</t>
  </si>
  <si>
    <t>Faktisk omkostning til medfinansiering af klimatilpasningsprojekter i 2018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</si>
  <si>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</si>
  <si>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</si>
  <si>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</si>
  <si>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</si>
  <si>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</si>
  <si>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</si>
  <si>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</si>
  <si>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</si>
  <si>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14: Historisk over- eller underdækning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</si>
  <si>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</si>
  <si>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</si>
  <si>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</si>
  <si>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</si>
  <si>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</si>
  <si>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</si>
  <si>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</si>
  <si>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</si>
  <si>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</si>
  <si>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</si>
  <si>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</si>
  <si>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</si>
  <si>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</si>
  <si>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</si>
  <si>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</si>
  <si>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</si>
  <si>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</si>
  <si>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</si>
  <si>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</si>
  <si>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</si>
  <si>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</si>
  <si>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</si>
  <si>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Effektiviseringskrav af periodevise driftsomkostninger</t>
  </si>
  <si>
    <t>Periodevise driftsomkostninger i den økonomiske ramme for 2018 i alt</t>
  </si>
  <si>
    <t>Periodevise driftsomkostninger i den økonomiske ramme for 2017</t>
  </si>
  <si>
    <t>Fane 3: Videreførte omkostninger fra den økonomiske ramme for 2019</t>
  </si>
  <si>
    <t>Fane 3</t>
  </si>
  <si>
    <t>Korrektion af driftsomkostninger i grundlaget</t>
  </si>
  <si>
    <t>Korrektion af anlægsomkostninger i grundlaget</t>
  </si>
  <si>
    <t>Korrektion af tidligere rammer</t>
  </si>
  <si>
    <t>Tillæg/fradrag for korrektion af tidligere rammer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</si>
  <si>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</si>
  <si>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</si>
  <si>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</si>
  <si>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</si>
  <si>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</si>
  <si>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</si>
  <si>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</si>
  <si>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</si>
  <si>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</si>
  <si>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</si>
  <si>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</si>
  <si>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Betalinger til projekters medfinansiering</t>
  </si>
  <si>
    <t>Deponeringsafgift</t>
  </si>
  <si>
    <t>Byggemodninger og nye tilslutninger</t>
  </si>
  <si>
    <t>Ingen engangstillæg</t>
  </si>
  <si>
    <t>Jordbassin Klasse A</t>
  </si>
  <si>
    <t>Pumpestationer m. overbygning (&lt; 20 m2), Konstruktioner</t>
  </si>
  <si>
    <t>Pumpestationer m. overbygning (&lt; 20 m2), Mek/EL</t>
  </si>
  <si>
    <t>Pumpestationer m. overbygning (&lt; 20 m2), SRO</t>
  </si>
  <si>
    <t>Ø 500 mm &lt; Ledningsnet ≤ Ø 800 mm</t>
  </si>
  <si>
    <t>Ledningsnet ≤ Ø 200 mm</t>
  </si>
  <si>
    <t>Ø 200 mm &lt; Ledningsnet ≤ Ø 500 mm</t>
  </si>
  <si>
    <t>Tryksatte minipumpestationer (husstandssystemer)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</si>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</sst>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2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2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25">
      <c r="A8" s="1"/>
      <c r="B8" s="1"/>
      <c r="C8" s="4"/>
      <c r="D8" s="66" t="s">
        <v>214</v>
      </c>
      <c r="E8" s="66"/>
      <c r="F8" s="66"/>
      <c r="G8" s="6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52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23</v>
      </c>
      <c r="D14" s="67" t="s">
        <v>54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51</v>
      </c>
      <c r="D15" s="67" t="s">
        <v>133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53</v>
      </c>
      <c r="D16" s="67" t="s">
        <v>134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255</v>
      </c>
      <c r="D17" s="67" t="s">
        <v>63</v>
      </c>
      <c r="E17" s="68"/>
      <c r="F17" s="68"/>
      <c r="G17" s="69"/>
      <c r="H17" s="1"/>
      <c r="I17" s="1"/>
    </row>
    <row r="18" spans="1:9" x14ac:dyDescent="0.25">
      <c r="A18" s="1"/>
      <c r="B18" s="1"/>
      <c r="C18" s="6" t="s">
        <v>221</v>
      </c>
      <c r="D18" s="70" t="s">
        <v>176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222</v>
      </c>
      <c r="D19" s="70" t="s">
        <v>177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7</v>
      </c>
      <c r="D20" s="70" t="s">
        <v>10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223</v>
      </c>
      <c r="D21" s="55" t="s">
        <v>17</v>
      </c>
      <c r="E21" s="56"/>
      <c r="F21" s="56"/>
      <c r="G21" s="57"/>
      <c r="H21" s="1"/>
      <c r="I21" s="1"/>
    </row>
    <row r="22" spans="1:9" x14ac:dyDescent="0.25">
      <c r="A22" s="1"/>
      <c r="B22" s="1"/>
      <c r="C22" s="6" t="s">
        <v>140</v>
      </c>
      <c r="D22" s="58" t="s">
        <v>173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258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224</v>
      </c>
      <c r="D25" s="58" t="s">
        <v>141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225</v>
      </c>
      <c r="D26" s="58" t="s">
        <v>142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226</v>
      </c>
      <c r="D27" s="58" t="s">
        <v>143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22</v>
      </c>
      <c r="D28" s="58" t="s">
        <v>56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58</v>
      </c>
      <c r="D29" s="58" t="s">
        <v>57</v>
      </c>
      <c r="E29" s="59"/>
      <c r="F29" s="59"/>
      <c r="G29" s="60"/>
      <c r="H29" s="1"/>
      <c r="I29" s="1"/>
    </row>
    <row r="30" spans="1:9" x14ac:dyDescent="0.25">
      <c r="A30" s="1"/>
      <c r="B30" s="1"/>
      <c r="C30" s="6" t="s">
        <v>59</v>
      </c>
      <c r="D30" s="61" t="s">
        <v>11</v>
      </c>
      <c r="E30" s="62"/>
      <c r="F30" s="62"/>
      <c r="G30" s="63"/>
      <c r="H30" s="1"/>
      <c r="I30" s="1"/>
    </row>
    <row r="31" spans="1:9" x14ac:dyDescent="0.25">
      <c r="A31" s="1"/>
      <c r="B31" s="1"/>
      <c r="C31" s="6" t="s">
        <v>172</v>
      </c>
      <c r="D31" s="52" t="s">
        <v>207</v>
      </c>
      <c r="E31" s="53"/>
      <c r="F31" s="53"/>
      <c r="G31" s="54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C+1SUI4qBu07UAzGsfWeJR7Q4PNtlViuXNl31lkSlalX3liXj6usGbG34szrStn5WaUggpqgbTN1h9DYnYIxCQ==" saltValue="pgnSYPjEi4HknGjx2gjnfw==" spinCount="100000" sheet="1" objects="1" scenarios="1"/>
  <mergeCells count="22"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  <mergeCell ref="D31:G31"/>
    <mergeCell ref="D21:G21"/>
    <mergeCell ref="D24:G24"/>
    <mergeCell ref="D25:G25"/>
    <mergeCell ref="D28:G28"/>
    <mergeCell ref="D26:G26"/>
    <mergeCell ref="D27:G27"/>
    <mergeCell ref="D23:G23"/>
    <mergeCell ref="D30:G30"/>
    <mergeCell ref="D29:G29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19:G19" location="'Fane 4.2. Gen. krav - anlæg'!A1" display="Generelt effektiviseringskrav på anlæg"/>
    <hyperlink ref="D30:G30" location="'Fane 14. Hist. over-underdæk.'!A1" display="Historisk over- eller underdækning"/>
    <hyperlink ref="D20:G20" location="'Fane 5. Individuelt eff. krav'!A1" display="Individuelt effektiviseringskrav"/>
    <hyperlink ref="D18:G18" location="'Fane 4.1. Gen. krav - drift'!A1" display="Generelt effektiviseringskrav på drift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233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66</v>
      </c>
      <c r="C8" s="76"/>
      <c r="D8" s="77"/>
      <c r="E8" s="1"/>
      <c r="F8" s="1"/>
    </row>
    <row r="9" spans="1:6" ht="15" customHeight="1" x14ac:dyDescent="0.25">
      <c r="A9" s="1"/>
      <c r="B9" s="46" t="s">
        <v>49</v>
      </c>
      <c r="C9" s="11" t="s">
        <v>67</v>
      </c>
      <c r="D9" s="11"/>
      <c r="E9" s="1"/>
      <c r="F9" s="1"/>
    </row>
    <row r="10" spans="1:6" x14ac:dyDescent="0.25">
      <c r="A10" s="1"/>
      <c r="B10" s="47" t="s">
        <v>267</v>
      </c>
      <c r="C10" s="9">
        <v>1587391</v>
      </c>
      <c r="D10" s="14" t="s">
        <v>3</v>
      </c>
      <c r="E10" s="1"/>
      <c r="F10" s="1"/>
    </row>
    <row r="11" spans="1:6" x14ac:dyDescent="0.25">
      <c r="A11" s="1"/>
      <c r="B11" s="47" t="s">
        <v>268</v>
      </c>
      <c r="C11" s="9">
        <v>68207</v>
      </c>
      <c r="D11" s="14" t="s">
        <v>3</v>
      </c>
      <c r="E11" s="1"/>
      <c r="F11" s="1"/>
    </row>
    <row r="12" spans="1:6" ht="26.25" x14ac:dyDescent="0.25">
      <c r="A12" s="1"/>
      <c r="B12" s="41" t="s">
        <v>269</v>
      </c>
      <c r="C12" s="9">
        <v>756000</v>
      </c>
      <c r="D12" s="14" t="s">
        <v>3</v>
      </c>
      <c r="E12" s="1"/>
      <c r="F12" s="1"/>
    </row>
    <row r="13" spans="1:6" x14ac:dyDescent="0.25">
      <c r="A13" s="1"/>
      <c r="B13" s="47" t="s">
        <v>270</v>
      </c>
      <c r="C13" s="9">
        <v>305504.83</v>
      </c>
      <c r="D13" s="14" t="s">
        <v>3</v>
      </c>
      <c r="E13" s="1"/>
      <c r="F13" s="1"/>
    </row>
    <row r="14" spans="1:6" x14ac:dyDescent="0.25">
      <c r="A14" s="1"/>
      <c r="B14" s="47" t="s">
        <v>271</v>
      </c>
      <c r="C14" s="9">
        <v>328943</v>
      </c>
      <c r="D14" s="14" t="s">
        <v>3</v>
      </c>
      <c r="E14" s="1"/>
      <c r="F14" s="1"/>
    </row>
    <row r="15" spans="1:6" x14ac:dyDescent="0.25">
      <c r="A15" s="1"/>
      <c r="B15" s="47" t="s">
        <v>272</v>
      </c>
      <c r="C15" s="9">
        <v>82744</v>
      </c>
      <c r="D15" s="14" t="s">
        <v>3</v>
      </c>
      <c r="E15" s="1"/>
      <c r="F15" s="1"/>
    </row>
    <row r="16" spans="1:6" x14ac:dyDescent="0.25">
      <c r="A16" s="1"/>
      <c r="B16" s="43" t="s">
        <v>68</v>
      </c>
      <c r="C16" s="12">
        <f>SUM(C10:C15)</f>
        <v>3128789.83</v>
      </c>
      <c r="D16" s="13" t="s">
        <v>3</v>
      </c>
      <c r="E16" s="1"/>
      <c r="F16" s="1"/>
    </row>
    <row r="17" spans="1:6" x14ac:dyDescent="0.25">
      <c r="A17" s="1"/>
      <c r="B17" s="43" t="s">
        <v>69</v>
      </c>
      <c r="C17" s="12">
        <f>C16*(1+'Fane 15. Nøgletal'!C12)^2</f>
        <v>3253278.4013471249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75" t="s">
        <v>244</v>
      </c>
      <c r="C20" s="76"/>
      <c r="D20" s="77"/>
      <c r="E20" s="1"/>
      <c r="F20" s="1"/>
    </row>
    <row r="21" spans="1:6" x14ac:dyDescent="0.25">
      <c r="A21" s="1"/>
      <c r="B21" s="47" t="s">
        <v>193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47" t="s">
        <v>194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47" t="s">
        <v>195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47" t="s">
        <v>196</v>
      </c>
      <c r="C24" s="9">
        <v>0</v>
      </c>
      <c r="D24" s="14" t="s">
        <v>3</v>
      </c>
      <c r="E24" s="1"/>
      <c r="F24" s="1"/>
    </row>
    <row r="25" spans="1:6" x14ac:dyDescent="0.25">
      <c r="A25" s="1"/>
      <c r="B25" s="75"/>
      <c r="C25" s="76"/>
      <c r="D25" s="77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75" t="s">
        <v>192</v>
      </c>
      <c r="C28" s="76"/>
      <c r="D28" s="77"/>
      <c r="E28" s="1"/>
      <c r="F28" s="1"/>
    </row>
    <row r="29" spans="1:6" x14ac:dyDescent="0.25">
      <c r="A29" s="1"/>
      <c r="B29" s="47" t="s">
        <v>193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47" t="s">
        <v>194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47" t="s">
        <v>195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47" t="s">
        <v>196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75"/>
      <c r="C33" s="76"/>
      <c r="D33" s="77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NhzGP72O4VfLptGQy1cwM2MymeMdhgBe8QbnEkbRrb4SU9A93USYxpYY5iWBTCdOdv4xqXlepjJ+2plvNw0qXA==" saltValue="4vOJQ1xqwgz8oR9TilsS0g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6" t="s">
        <v>232</v>
      </c>
      <c r="C3" s="96"/>
      <c r="D3" s="96"/>
      <c r="E3" s="96"/>
      <c r="F3" s="96"/>
      <c r="G3" s="1"/>
    </row>
    <row r="4" spans="1:7" ht="15" customHeight="1" x14ac:dyDescent="0.25">
      <c r="A4" s="1"/>
      <c r="B4" s="96"/>
      <c r="C4" s="96"/>
      <c r="D4" s="96"/>
      <c r="E4" s="96"/>
      <c r="F4" s="96"/>
      <c r="G4" s="1"/>
    </row>
    <row r="5" spans="1:7" ht="15" customHeight="1" x14ac:dyDescent="0.25">
      <c r="A5" s="1"/>
      <c r="B5" s="40"/>
      <c r="C5" s="40"/>
      <c r="D5" s="40"/>
      <c r="E5" s="40"/>
      <c r="F5" s="40"/>
      <c r="G5" s="1"/>
    </row>
    <row r="6" spans="1:7" ht="15" customHeight="1" x14ac:dyDescent="0.25">
      <c r="A6" s="1"/>
      <c r="B6" s="40"/>
      <c r="C6" s="40"/>
      <c r="D6" s="40"/>
      <c r="E6" s="40"/>
      <c r="F6" s="4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179</v>
      </c>
      <c r="C8" s="76"/>
      <c r="D8" s="76"/>
      <c r="E8" s="76"/>
      <c r="F8" s="77"/>
      <c r="G8" s="1"/>
    </row>
    <row r="9" spans="1:7" x14ac:dyDescent="0.25">
      <c r="A9" s="1"/>
      <c r="B9" s="102" t="s">
        <v>180</v>
      </c>
      <c r="C9" s="103"/>
      <c r="D9" s="104"/>
      <c r="E9" s="9">
        <v>123336864.25741959</v>
      </c>
      <c r="F9" s="14" t="s">
        <v>3</v>
      </c>
      <c r="G9" s="1"/>
    </row>
    <row r="10" spans="1:7" x14ac:dyDescent="0.25">
      <c r="A10" s="1"/>
      <c r="B10" s="102" t="s">
        <v>181</v>
      </c>
      <c r="C10" s="103"/>
      <c r="D10" s="104"/>
      <c r="E10" s="9">
        <v>108140475</v>
      </c>
      <c r="F10" s="14" t="s">
        <v>3</v>
      </c>
      <c r="G10" s="1"/>
    </row>
    <row r="11" spans="1:7" x14ac:dyDescent="0.25">
      <c r="A11" s="1"/>
      <c r="B11" s="102" t="s">
        <v>50</v>
      </c>
      <c r="C11" s="103"/>
      <c r="D11" s="104"/>
      <c r="E11" s="9">
        <v>0</v>
      </c>
      <c r="F11" s="14" t="s">
        <v>3</v>
      </c>
      <c r="G11" s="1"/>
    </row>
    <row r="12" spans="1:7" x14ac:dyDescent="0.25">
      <c r="A12" s="1"/>
      <c r="B12" s="81" t="s">
        <v>182</v>
      </c>
      <c r="C12" s="82"/>
      <c r="D12" s="83"/>
      <c r="E12" s="10">
        <f>E9-(E10-E11)</f>
        <v>15196389.257419586</v>
      </c>
      <c r="F12" s="17" t="s">
        <v>3</v>
      </c>
      <c r="G12" s="1"/>
    </row>
    <row r="13" spans="1:7" x14ac:dyDescent="0.25">
      <c r="A13" s="1"/>
      <c r="B13" s="43"/>
      <c r="C13" s="44"/>
      <c r="D13" s="44"/>
      <c r="E13" s="44"/>
      <c r="F13" s="22"/>
      <c r="G13" s="1"/>
    </row>
    <row r="14" spans="1:7" ht="27.75" customHeight="1" x14ac:dyDescent="0.25">
      <c r="A14" s="1"/>
      <c r="B14" s="78" t="s">
        <v>209</v>
      </c>
      <c r="C14" s="79"/>
      <c r="D14" s="79"/>
      <c r="E14" s="79"/>
      <c r="F14" s="80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75" t="s">
        <v>74</v>
      </c>
      <c r="C17" s="76"/>
      <c r="D17" s="76"/>
      <c r="E17" s="76"/>
      <c r="F17" s="77"/>
      <c r="G17" s="1"/>
    </row>
    <row r="18" spans="1:7" x14ac:dyDescent="0.25">
      <c r="A18" s="1"/>
      <c r="B18" s="102" t="s">
        <v>75</v>
      </c>
      <c r="C18" s="103"/>
      <c r="D18" s="104"/>
      <c r="E18" s="9">
        <v>136224510.56058493</v>
      </c>
      <c r="F18" s="14" t="s">
        <v>3</v>
      </c>
      <c r="G18" s="1"/>
    </row>
    <row r="19" spans="1:7" x14ac:dyDescent="0.25">
      <c r="A19" s="1"/>
      <c r="B19" s="102" t="s">
        <v>76</v>
      </c>
      <c r="C19" s="103"/>
      <c r="D19" s="104"/>
      <c r="E19" s="9">
        <v>105707474.87</v>
      </c>
      <c r="F19" s="14" t="s">
        <v>3</v>
      </c>
      <c r="G19" s="1"/>
    </row>
    <row r="20" spans="1:7" x14ac:dyDescent="0.25">
      <c r="A20" s="1"/>
      <c r="B20" s="102" t="s">
        <v>50</v>
      </c>
      <c r="C20" s="103"/>
      <c r="D20" s="104"/>
      <c r="E20" s="9">
        <v>0</v>
      </c>
      <c r="F20" s="14" t="s">
        <v>3</v>
      </c>
      <c r="G20" s="1"/>
    </row>
    <row r="21" spans="1:7" x14ac:dyDescent="0.25">
      <c r="A21" s="1"/>
      <c r="B21" s="81" t="s">
        <v>77</v>
      </c>
      <c r="C21" s="82"/>
      <c r="D21" s="83"/>
      <c r="E21" s="10">
        <f>E18-(E19-E20)</f>
        <v>30517035.690584928</v>
      </c>
      <c r="F21" s="17" t="s">
        <v>3</v>
      </c>
      <c r="G21" s="1"/>
    </row>
    <row r="22" spans="1:7" x14ac:dyDescent="0.25">
      <c r="A22" s="1"/>
      <c r="B22" s="43"/>
      <c r="C22" s="44"/>
      <c r="D22" s="44"/>
      <c r="E22" s="4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75" t="s">
        <v>201</v>
      </c>
      <c r="C25" s="76"/>
      <c r="D25" s="76"/>
      <c r="E25" s="76"/>
      <c r="F25" s="77"/>
      <c r="G25" s="1"/>
    </row>
    <row r="26" spans="1:7" x14ac:dyDescent="0.25">
      <c r="A26" s="1"/>
      <c r="B26" s="111" t="s">
        <v>171</v>
      </c>
      <c r="C26" s="112"/>
      <c r="D26" s="113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11" t="s">
        <v>200</v>
      </c>
      <c r="C27" s="112"/>
      <c r="D27" s="113"/>
      <c r="E27" s="9">
        <v>4</v>
      </c>
      <c r="F27" s="14" t="s">
        <v>28</v>
      </c>
      <c r="G27" s="1"/>
    </row>
    <row r="28" spans="1:7" x14ac:dyDescent="0.25">
      <c r="A28" s="1"/>
      <c r="B28" s="81" t="s">
        <v>210</v>
      </c>
      <c r="C28" s="82"/>
      <c r="D28" s="83"/>
      <c r="E28" s="10">
        <f>E26/E27</f>
        <v>0</v>
      </c>
      <c r="F28" s="17" t="s">
        <v>3</v>
      </c>
      <c r="G28" s="1"/>
    </row>
    <row r="29" spans="1:7" x14ac:dyDescent="0.25">
      <c r="A29" s="1"/>
      <c r="B29" s="114"/>
      <c r="C29" s="115"/>
      <c r="D29" s="115"/>
      <c r="E29" s="115"/>
      <c r="F29" s="116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mdNAXnX4alphcK8UnZP4AXx3nW8gVRcfBqbwkJRPJV2+TatALAU1+WcPwaowL4nR1ec1dkyXUJoy/RgYNxTrQ==" saltValue="Me/68urbGhZGN2YmZOgJkg==" spinCount="100000" sheet="1" objects="1" scenarios="1"/>
  <mergeCells count="17">
    <mergeCell ref="B25:F25"/>
    <mergeCell ref="B26:D26"/>
    <mergeCell ref="B27:D27"/>
    <mergeCell ref="B28:D28"/>
    <mergeCell ref="B29:F29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6" t="s">
        <v>260</v>
      </c>
      <c r="C3" s="96"/>
      <c r="D3" s="96"/>
      <c r="E3" s="96"/>
      <c r="F3" s="96"/>
      <c r="G3" s="1"/>
    </row>
    <row r="4" spans="1:7" ht="1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75" t="s">
        <v>174</v>
      </c>
      <c r="C9" s="76"/>
      <c r="D9" s="76"/>
      <c r="E9" s="76"/>
      <c r="F9" s="76"/>
      <c r="G9" s="1"/>
    </row>
    <row r="10" spans="1:7" x14ac:dyDescent="0.25">
      <c r="A10" s="1"/>
      <c r="B10" s="78" t="s">
        <v>197</v>
      </c>
      <c r="C10" s="79"/>
      <c r="D10" s="80"/>
      <c r="E10" s="7">
        <v>0</v>
      </c>
      <c r="F10" s="8" t="s">
        <v>3</v>
      </c>
      <c r="G10" s="1"/>
    </row>
    <row r="11" spans="1:7" x14ac:dyDescent="0.25">
      <c r="A11" s="1"/>
      <c r="B11" s="102" t="s">
        <v>198</v>
      </c>
      <c r="C11" s="103"/>
      <c r="D11" s="104"/>
      <c r="E11" s="7">
        <v>0</v>
      </c>
      <c r="F11" s="8" t="s">
        <v>3</v>
      </c>
      <c r="G11" s="1"/>
    </row>
    <row r="12" spans="1:7" x14ac:dyDescent="0.25">
      <c r="A12" s="1"/>
      <c r="B12" s="81" t="s">
        <v>199</v>
      </c>
      <c r="C12" s="82"/>
      <c r="D12" s="83"/>
      <c r="E12" s="10">
        <f>E11-E10</f>
        <v>0</v>
      </c>
      <c r="F12" s="11" t="s">
        <v>3</v>
      </c>
      <c r="G12" s="1"/>
    </row>
    <row r="13" spans="1:7" x14ac:dyDescent="0.25">
      <c r="A13" s="1"/>
      <c r="B13" s="75" t="s">
        <v>175</v>
      </c>
      <c r="C13" s="76"/>
      <c r="D13" s="76"/>
      <c r="E13" s="76"/>
      <c r="F13" s="76"/>
      <c r="G13" s="1"/>
    </row>
    <row r="14" spans="1:7" x14ac:dyDescent="0.25">
      <c r="A14" s="1"/>
      <c r="B14" s="102" t="s">
        <v>218</v>
      </c>
      <c r="C14" s="103"/>
      <c r="D14" s="104"/>
      <c r="E14" s="9">
        <v>0</v>
      </c>
      <c r="F14" s="8" t="s">
        <v>3</v>
      </c>
      <c r="G14" s="1"/>
    </row>
    <row r="15" spans="1:7" x14ac:dyDescent="0.25">
      <c r="A15" s="1"/>
      <c r="B15" s="78" t="s">
        <v>219</v>
      </c>
      <c r="C15" s="79"/>
      <c r="D15" s="80"/>
      <c r="E15" s="9">
        <v>0</v>
      </c>
      <c r="F15" s="8" t="s">
        <v>3</v>
      </c>
      <c r="G15" s="1"/>
    </row>
    <row r="16" spans="1:7" x14ac:dyDescent="0.25">
      <c r="A16" s="1"/>
      <c r="B16" s="81" t="s">
        <v>199</v>
      </c>
      <c r="C16" s="82"/>
      <c r="D16" s="83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75" t="s">
        <v>170</v>
      </c>
      <c r="C17" s="76"/>
      <c r="D17" s="76"/>
      <c r="E17" s="76"/>
      <c r="F17" s="76"/>
      <c r="G17" s="1"/>
    </row>
    <row r="18" spans="1:7" ht="28.15" customHeight="1" x14ac:dyDescent="0.25">
      <c r="A18" s="1"/>
      <c r="B18" s="78" t="s">
        <v>266</v>
      </c>
      <c r="C18" s="79"/>
      <c r="D18" s="80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178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3" t="s">
        <v>190</v>
      </c>
      <c r="C20" s="44"/>
      <c r="D20" s="4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sbOnA1hNEOCHu6vv78QKa+LCcyq7IF2tWuxJV8HNNA5rQGJ926lrY2qmnJT0IYHpwd1AN2Bc5TRZEUcCBdBx5g==" saltValue="hBc/Z7qa+mYJgi1FTWm/Bg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3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261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262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0" t="s">
        <v>275</v>
      </c>
      <c r="C10" s="126">
        <v>50</v>
      </c>
      <c r="D10" s="9">
        <v>55830.49</v>
      </c>
      <c r="E10" s="9">
        <f>IFERROR(D10/C10,0)</f>
        <v>1116.6098</v>
      </c>
      <c r="F10" s="9">
        <v>0</v>
      </c>
      <c r="G10" s="9">
        <v>0</v>
      </c>
      <c r="H10" s="14" t="s">
        <v>3</v>
      </c>
      <c r="I10" s="1"/>
    </row>
    <row r="11" spans="1:9" ht="39" x14ac:dyDescent="0.25">
      <c r="A11" s="1"/>
      <c r="B11" s="50" t="s">
        <v>276</v>
      </c>
      <c r="C11" s="126">
        <v>50</v>
      </c>
      <c r="D11" s="9">
        <v>98923.16</v>
      </c>
      <c r="E11" s="9">
        <f t="shared" ref="E11:E15" si="0">IFERROR(D11/C11,0)</f>
        <v>1978.4632000000001</v>
      </c>
      <c r="F11" s="9">
        <v>0</v>
      </c>
      <c r="G11" s="9">
        <v>0</v>
      </c>
      <c r="H11" s="14" t="s">
        <v>3</v>
      </c>
      <c r="I11" s="1"/>
    </row>
    <row r="12" spans="1:9" ht="39" x14ac:dyDescent="0.25">
      <c r="A12" s="1"/>
      <c r="B12" s="50" t="s">
        <v>277</v>
      </c>
      <c r="C12" s="126">
        <v>20</v>
      </c>
      <c r="D12" s="9">
        <v>89229.82</v>
      </c>
      <c r="E12" s="9">
        <f t="shared" si="0"/>
        <v>4461.491</v>
      </c>
      <c r="F12" s="9">
        <v>0</v>
      </c>
      <c r="G12" s="9">
        <v>0</v>
      </c>
      <c r="H12" s="14" t="s">
        <v>3</v>
      </c>
      <c r="I12" s="1"/>
    </row>
    <row r="13" spans="1:9" ht="39" x14ac:dyDescent="0.25">
      <c r="A13" s="1"/>
      <c r="B13" s="50" t="s">
        <v>278</v>
      </c>
      <c r="C13" s="126">
        <v>10</v>
      </c>
      <c r="D13" s="9">
        <v>74192.37</v>
      </c>
      <c r="E13" s="9">
        <f t="shared" si="0"/>
        <v>7419.2369999999992</v>
      </c>
      <c r="F13" s="9">
        <v>0</v>
      </c>
      <c r="G13" s="9">
        <v>0</v>
      </c>
      <c r="H13" s="14" t="s">
        <v>3</v>
      </c>
      <c r="I13" s="1"/>
    </row>
    <row r="14" spans="1:9" ht="26.25" x14ac:dyDescent="0.25">
      <c r="A14" s="1"/>
      <c r="B14" s="50" t="s">
        <v>279</v>
      </c>
      <c r="C14" s="126">
        <v>75</v>
      </c>
      <c r="D14" s="9">
        <v>1528301.33</v>
      </c>
      <c r="E14" s="9">
        <f t="shared" si="0"/>
        <v>20377.351066666666</v>
      </c>
      <c r="F14" s="9">
        <v>0</v>
      </c>
      <c r="G14" s="9">
        <v>0</v>
      </c>
      <c r="H14" s="14" t="s">
        <v>3</v>
      </c>
      <c r="I14" s="1"/>
    </row>
    <row r="15" spans="1:9" x14ac:dyDescent="0.25">
      <c r="A15" s="1"/>
      <c r="B15" s="50" t="s">
        <v>280</v>
      </c>
      <c r="C15" s="126">
        <v>75</v>
      </c>
      <c r="D15" s="9">
        <v>82054.73</v>
      </c>
      <c r="E15" s="9">
        <f t="shared" si="0"/>
        <v>1094.0630666666666</v>
      </c>
      <c r="F15" s="9">
        <v>0</v>
      </c>
      <c r="G15" s="9">
        <v>0</v>
      </c>
      <c r="H15" s="14" t="s">
        <v>3</v>
      </c>
      <c r="I15" s="1"/>
    </row>
    <row r="16" spans="1:9" ht="39" x14ac:dyDescent="0.25">
      <c r="A16" s="1"/>
      <c r="B16" s="50" t="s">
        <v>282</v>
      </c>
      <c r="C16" s="126">
        <v>30</v>
      </c>
      <c r="D16" s="9">
        <v>6187995.5099999998</v>
      </c>
      <c r="E16" s="9">
        <f t="shared" ref="E16:E17" si="1">IFERROR(D16/C16,0)</f>
        <v>206266.51699999999</v>
      </c>
      <c r="F16" s="9">
        <v>0</v>
      </c>
      <c r="G16" s="9">
        <v>0</v>
      </c>
      <c r="H16" s="14" t="s">
        <v>3</v>
      </c>
      <c r="I16" s="1"/>
    </row>
    <row r="17" spans="1:9" ht="26.25" x14ac:dyDescent="0.25">
      <c r="A17" s="1"/>
      <c r="B17" s="50" t="s">
        <v>281</v>
      </c>
      <c r="C17" s="126">
        <v>75</v>
      </c>
      <c r="D17" s="9">
        <v>311347</v>
      </c>
      <c r="E17" s="9">
        <f t="shared" si="1"/>
        <v>4151.2933333333331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75" t="s">
        <v>263</v>
      </c>
      <c r="C18" s="76"/>
      <c r="D18" s="77"/>
      <c r="E18" s="12">
        <f>SUM(E10:E17)</f>
        <v>246865.02546666667</v>
      </c>
      <c r="F18" s="12">
        <f>SUM(F10:F17)</f>
        <v>0</v>
      </c>
      <c r="G18" s="12">
        <f>SUM(G10:G17)</f>
        <v>0</v>
      </c>
      <c r="H18" s="13" t="s">
        <v>3</v>
      </c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B43" s="1"/>
      <c r="C43" s="1"/>
      <c r="D43" s="1"/>
      <c r="E43" s="1"/>
      <c r="F43" s="1"/>
      <c r="G43" s="1"/>
      <c r="H43" s="1"/>
    </row>
    <row r="44" spans="1:9" x14ac:dyDescent="0.25">
      <c r="B44" s="1"/>
      <c r="C44" s="1"/>
      <c r="D44" s="1"/>
      <c r="E44" s="1"/>
      <c r="F44" s="1"/>
      <c r="G44" s="1"/>
      <c r="H44" s="1"/>
    </row>
    <row r="45" spans="1:9" x14ac:dyDescent="0.25">
      <c r="B45" s="1"/>
      <c r="C45" s="1"/>
      <c r="D45" s="1"/>
      <c r="E45" s="1"/>
      <c r="F45" s="1"/>
      <c r="G45" s="1"/>
      <c r="H45" s="1"/>
    </row>
    <row r="46" spans="1:9" x14ac:dyDescent="0.25">
      <c r="B46" s="1"/>
      <c r="C46" s="1"/>
      <c r="D46" s="1"/>
      <c r="E46" s="1"/>
      <c r="F46" s="1"/>
      <c r="G46" s="1"/>
      <c r="H46" s="1"/>
    </row>
    <row r="47" spans="1:9" x14ac:dyDescent="0.25">
      <c r="B47" s="1"/>
      <c r="C47" s="1"/>
      <c r="D47" s="1"/>
      <c r="E47" s="1"/>
      <c r="F47" s="1"/>
      <c r="G47" s="1"/>
      <c r="H47" s="1"/>
    </row>
    <row r="48" spans="1:9" x14ac:dyDescent="0.25">
      <c r="B48" s="1"/>
      <c r="C48" s="1"/>
      <c r="D48" s="1"/>
      <c r="E48" s="1"/>
      <c r="F48" s="1"/>
      <c r="G48" s="1"/>
      <c r="H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</sheetData>
  <sheetProtection algorithmName="SHA-512" hashValue="1Mfe6SHeIMqPDneXqrFLCutk5DAbAjYjVQf53VfdSStPApEk2d0kgvffrpieNWkThfiL0YbWFw710uMg3J9UbQ==" saltValue="UmpuNMMre0BTzZQ7Mt+MBw==" spinCount="100000" sheet="1" objects="1" scenarios="1"/>
  <mergeCells count="3">
    <mergeCell ref="B3:H4"/>
    <mergeCell ref="B18:D18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231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137</v>
      </c>
      <c r="C8" s="44"/>
      <c r="D8" s="44"/>
      <c r="E8" s="44"/>
      <c r="F8" s="22"/>
      <c r="G8" s="1"/>
    </row>
    <row r="9" spans="1:7" ht="17.25" customHeight="1" x14ac:dyDescent="0.25">
      <c r="A9" s="1"/>
      <c r="B9" s="36" t="s">
        <v>25</v>
      </c>
      <c r="C9" s="36" t="s">
        <v>16</v>
      </c>
      <c r="D9" s="37"/>
      <c r="E9" s="36" t="s">
        <v>48</v>
      </c>
      <c r="F9" s="39"/>
      <c r="G9" s="1"/>
    </row>
    <row r="10" spans="1:7" x14ac:dyDescent="0.25">
      <c r="A10" s="1"/>
      <c r="B10" s="27" t="s">
        <v>283</v>
      </c>
      <c r="C10" s="24">
        <f>'Fane 9. Anlægsprojekter'!F18</f>
        <v>0</v>
      </c>
      <c r="D10" s="14" t="s">
        <v>3</v>
      </c>
      <c r="E10" s="9">
        <f>SUM('Fane 9. Anlægsprojekter'!E18,'Fane 9. Anlægsprojekter'!G18)</f>
        <v>246865.02546666667</v>
      </c>
      <c r="F10" s="14" t="s">
        <v>3</v>
      </c>
      <c r="G10" s="1"/>
    </row>
    <row r="11" spans="1:7" x14ac:dyDescent="0.25">
      <c r="A11" s="1"/>
      <c r="B11" s="127" t="s">
        <v>273</v>
      </c>
      <c r="C11" s="24">
        <v>0</v>
      </c>
      <c r="D11" s="14" t="s">
        <v>3</v>
      </c>
      <c r="E11" s="9">
        <v>439129</v>
      </c>
      <c r="F11" s="14" t="s">
        <v>3</v>
      </c>
      <c r="G11" s="1"/>
    </row>
    <row r="12" spans="1:7" x14ac:dyDescent="0.25">
      <c r="A12" s="1"/>
      <c r="B12" s="43" t="s">
        <v>60</v>
      </c>
      <c r="C12" s="12">
        <f>SUM(C10:C11)</f>
        <v>0</v>
      </c>
      <c r="D12" s="13" t="s">
        <v>3</v>
      </c>
      <c r="E12" s="12">
        <f>SUM(E10:E11)</f>
        <v>685994.02546666667</v>
      </c>
      <c r="F12" s="13" t="s">
        <v>3</v>
      </c>
      <c r="G12" s="1"/>
    </row>
    <row r="13" spans="1:7" x14ac:dyDescent="0.25">
      <c r="A13" s="1"/>
      <c r="B13" s="43" t="s">
        <v>71</v>
      </c>
      <c r="C13" s="12">
        <f>C12*(1+'Fane 15. Nøgletal'!C12)</f>
        <v>0</v>
      </c>
      <c r="D13" s="13" t="s">
        <v>3</v>
      </c>
      <c r="E13" s="12">
        <f>E12*(1+'Fane 15. Nøgletal'!C12)</f>
        <v>699508.10776836006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pdhZLHDA5GBHtyvHrhRxq4ImakcKdarVmv27OHQtPsjOglVSiTNV0V0JVdee84hP/uh7Hehlh/1pjBbJ7ZJlDQ==" saltValue="mPd4RDwOGwBnVFw6mU3/m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230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183</v>
      </c>
      <c r="C8" s="76"/>
      <c r="D8" s="76"/>
      <c r="E8" s="76"/>
      <c r="F8" s="77"/>
      <c r="G8" s="1"/>
    </row>
    <row r="9" spans="1:7" x14ac:dyDescent="0.25">
      <c r="A9" s="1"/>
      <c r="B9" s="36" t="s">
        <v>25</v>
      </c>
      <c r="C9" s="36" t="s">
        <v>16</v>
      </c>
      <c r="D9" s="37"/>
      <c r="E9" s="36" t="s">
        <v>48</v>
      </c>
      <c r="F9" s="39"/>
      <c r="G9" s="1"/>
    </row>
    <row r="10" spans="1:7" x14ac:dyDescent="0.25">
      <c r="A10" s="1"/>
      <c r="B10" s="27" t="s">
        <v>274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3" t="s">
        <v>187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191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3" t="s">
        <v>188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75" t="s">
        <v>184</v>
      </c>
      <c r="C16" s="76"/>
      <c r="D16" s="76"/>
      <c r="E16" s="76"/>
      <c r="F16" s="77"/>
      <c r="G16" s="1"/>
    </row>
    <row r="17" spans="1:7" x14ac:dyDescent="0.25">
      <c r="A17" s="1"/>
      <c r="B17" s="36" t="s">
        <v>25</v>
      </c>
      <c r="C17" s="36" t="s">
        <v>16</v>
      </c>
      <c r="D17" s="37"/>
      <c r="E17" s="36" t="s">
        <v>48</v>
      </c>
      <c r="F17" s="39"/>
      <c r="G17" s="1"/>
    </row>
    <row r="18" spans="1:7" x14ac:dyDescent="0.25">
      <c r="A18" s="1"/>
      <c r="B18" s="27" t="s">
        <v>274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3" t="s">
        <v>187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191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3" t="s">
        <v>189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75" t="s">
        <v>185</v>
      </c>
      <c r="C24" s="76"/>
      <c r="D24" s="76"/>
      <c r="E24" s="76"/>
      <c r="F24" s="77"/>
      <c r="G24" s="1"/>
    </row>
    <row r="25" spans="1:7" x14ac:dyDescent="0.25">
      <c r="A25" s="1"/>
      <c r="B25" s="36" t="s">
        <v>25</v>
      </c>
      <c r="C25" s="36" t="s">
        <v>16</v>
      </c>
      <c r="D25" s="37"/>
      <c r="E25" s="36" t="s">
        <v>48</v>
      </c>
      <c r="F25" s="39"/>
      <c r="G25" s="1"/>
    </row>
    <row r="26" spans="1:7" x14ac:dyDescent="0.25">
      <c r="A26" s="1"/>
      <c r="B26" s="27" t="s">
        <v>274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3" t="s">
        <v>187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191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3" t="s">
        <v>189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75" t="s">
        <v>186</v>
      </c>
      <c r="C32" s="76"/>
      <c r="D32" s="76"/>
      <c r="E32" s="76"/>
      <c r="F32" s="77"/>
      <c r="G32" s="1"/>
    </row>
    <row r="33" spans="1:7" x14ac:dyDescent="0.25">
      <c r="A33" s="1"/>
      <c r="B33" s="36" t="s">
        <v>25</v>
      </c>
      <c r="C33" s="36" t="s">
        <v>16</v>
      </c>
      <c r="D33" s="37"/>
      <c r="E33" s="36" t="s">
        <v>48</v>
      </c>
      <c r="F33" s="39"/>
      <c r="G33" s="1"/>
    </row>
    <row r="34" spans="1:7" x14ac:dyDescent="0.25">
      <c r="A34" s="1"/>
      <c r="B34" s="27" t="s">
        <v>274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3" t="s">
        <v>187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191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3" t="s">
        <v>189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v+tukWyivwDDNtKtpmFhwmvYwpgKOgLm14+dZlVno6Wo2mRhD+bITJotRHmfmZnz0pAfKOhmgTOXfQM6x2QC1g==" saltValue="kgX6o3ArWWZuCrdEC4yPM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243</v>
      </c>
      <c r="C3" s="96"/>
      <c r="D3" s="96"/>
      <c r="E3" s="96"/>
      <c r="F3" s="96"/>
      <c r="G3" s="1"/>
    </row>
    <row r="4" spans="1:7" ht="1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96"/>
      <c r="C5" s="96"/>
      <c r="D5" s="96"/>
      <c r="E5" s="96"/>
      <c r="F5" s="9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158</v>
      </c>
      <c r="C8" s="76"/>
      <c r="D8" s="76"/>
      <c r="E8" s="76"/>
      <c r="F8" s="77"/>
      <c r="G8" s="1"/>
    </row>
    <row r="9" spans="1:7" x14ac:dyDescent="0.25">
      <c r="A9" s="1"/>
      <c r="B9" s="120" t="s">
        <v>157</v>
      </c>
      <c r="C9" s="121"/>
      <c r="D9" s="122"/>
      <c r="E9" s="9">
        <v>0</v>
      </c>
      <c r="F9" s="14" t="s">
        <v>3</v>
      </c>
      <c r="G9" s="1"/>
    </row>
    <row r="10" spans="1:7" x14ac:dyDescent="0.25">
      <c r="A10" s="1"/>
      <c r="B10" s="117" t="s">
        <v>10</v>
      </c>
      <c r="C10" s="118"/>
      <c r="D10" s="119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117" t="s">
        <v>39</v>
      </c>
      <c r="C11" s="118"/>
      <c r="D11" s="119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75" t="s">
        <v>162</v>
      </c>
      <c r="C12" s="76"/>
      <c r="D12" s="77"/>
      <c r="E12" s="12">
        <f>SUM(E9:E11)*(1+'Fane 15. Nøgletal'!C10)^2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159</v>
      </c>
      <c r="C14" s="76"/>
      <c r="D14" s="76"/>
      <c r="E14" s="76"/>
      <c r="F14" s="77"/>
      <c r="G14" s="1"/>
    </row>
    <row r="15" spans="1:7" x14ac:dyDescent="0.25">
      <c r="A15" s="1"/>
      <c r="B15" s="120" t="s">
        <v>157</v>
      </c>
      <c r="C15" s="121"/>
      <c r="D15" s="122"/>
      <c r="E15" s="9">
        <v>0</v>
      </c>
      <c r="F15" s="14" t="s">
        <v>3</v>
      </c>
      <c r="G15" s="1"/>
    </row>
    <row r="16" spans="1:7" x14ac:dyDescent="0.25">
      <c r="A16" s="1"/>
      <c r="B16" s="117" t="s">
        <v>10</v>
      </c>
      <c r="C16" s="118"/>
      <c r="D16" s="119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117" t="s">
        <v>39</v>
      </c>
      <c r="C17" s="118"/>
      <c r="D17" s="119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75" t="s">
        <v>163</v>
      </c>
      <c r="C18" s="76"/>
      <c r="D18" s="77"/>
      <c r="E18" s="12">
        <f>SUM(E15:E17)*(1+'Fane 15. Nøgletal'!C10)^3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160</v>
      </c>
      <c r="C20" s="76"/>
      <c r="D20" s="76"/>
      <c r="E20" s="76"/>
      <c r="F20" s="77"/>
      <c r="G20" s="1"/>
    </row>
    <row r="21" spans="1:7" x14ac:dyDescent="0.25">
      <c r="A21" s="1"/>
      <c r="B21" s="120" t="s">
        <v>157</v>
      </c>
      <c r="C21" s="121"/>
      <c r="D21" s="122"/>
      <c r="E21" s="9">
        <v>0</v>
      </c>
      <c r="F21" s="14" t="s">
        <v>3</v>
      </c>
      <c r="G21" s="1"/>
    </row>
    <row r="22" spans="1:7" x14ac:dyDescent="0.25">
      <c r="A22" s="1"/>
      <c r="B22" s="117" t="s">
        <v>10</v>
      </c>
      <c r="C22" s="118"/>
      <c r="D22" s="119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117" t="s">
        <v>39</v>
      </c>
      <c r="C23" s="118"/>
      <c r="D23" s="119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75" t="s">
        <v>164</v>
      </c>
      <c r="C24" s="76"/>
      <c r="D24" s="77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161</v>
      </c>
      <c r="C26" s="76"/>
      <c r="D26" s="76"/>
      <c r="E26" s="76"/>
      <c r="F26" s="77"/>
      <c r="G26" s="1"/>
    </row>
    <row r="27" spans="1:7" x14ac:dyDescent="0.25">
      <c r="A27" s="1"/>
      <c r="B27" s="120" t="s">
        <v>157</v>
      </c>
      <c r="C27" s="121"/>
      <c r="D27" s="122"/>
      <c r="E27" s="9">
        <v>0</v>
      </c>
      <c r="F27" s="14" t="s">
        <v>3</v>
      </c>
      <c r="G27" s="1"/>
    </row>
    <row r="28" spans="1:7" x14ac:dyDescent="0.25">
      <c r="A28" s="1"/>
      <c r="B28" s="117" t="s">
        <v>10</v>
      </c>
      <c r="C28" s="118"/>
      <c r="D28" s="119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117" t="s">
        <v>39</v>
      </c>
      <c r="C29" s="118"/>
      <c r="D29" s="119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75" t="s">
        <v>165</v>
      </c>
      <c r="C30" s="76"/>
      <c r="D30" s="77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WnwCGC8zlF5widuPQKaQ1yfjOHn8dqZR2FzGwpktS5y92PPSTaWWcX4+TqBxZoDqwDkQx5wPlwjgSP/IYyDnqw==" saltValue="5gdsBghbluZ5VcItdiaJ1g==" spinCount="100000" sheet="1" objects="1" scenarios="1"/>
  <mergeCells count="21"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229</v>
      </c>
      <c r="C3" s="96"/>
      <c r="D3" s="96"/>
      <c r="E3" s="96"/>
      <c r="F3" s="96"/>
      <c r="G3" s="1"/>
    </row>
    <row r="4" spans="1:7" ht="25.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38" t="s">
        <v>33</v>
      </c>
      <c r="C9" s="90" t="s">
        <v>16</v>
      </c>
      <c r="D9" s="92"/>
      <c r="E9" s="93" t="s">
        <v>48</v>
      </c>
      <c r="F9" s="95"/>
      <c r="G9" s="1"/>
    </row>
    <row r="10" spans="1:7" x14ac:dyDescent="0.25">
      <c r="A10" s="1"/>
      <c r="B10" s="27" t="s">
        <v>264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73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kMnKSfFp7/JwCjty7UXVzDVRpSI1NkAzT+3a2OkxPo1jPHFsjFHkRAs8EAnXQpC6i59MV5Hhr/anJUSkUQuOgg==" saltValue="vsjLEMyx1YTPiRjonnvdU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227</v>
      </c>
      <c r="C3" s="96"/>
      <c r="D3" s="96"/>
      <c r="E3" s="96"/>
      <c r="F3" s="96"/>
      <c r="G3" s="1"/>
    </row>
    <row r="4" spans="1:7" ht="25.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167</v>
      </c>
      <c r="C8" s="76"/>
      <c r="D8" s="76"/>
      <c r="E8" s="76"/>
      <c r="F8" s="77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3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168</v>
      </c>
      <c r="C14" s="76"/>
      <c r="D14" s="76"/>
      <c r="E14" s="76"/>
      <c r="F14" s="77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3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3" t="s">
        <v>150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166</v>
      </c>
      <c r="C20" s="76"/>
      <c r="D20" s="76"/>
      <c r="E20" s="76"/>
      <c r="F20" s="77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3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3" t="s">
        <v>151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169</v>
      </c>
      <c r="C26" s="76"/>
      <c r="D26" s="76"/>
      <c r="E26" s="76"/>
      <c r="F26" s="77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3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3" t="s">
        <v>152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1j7B48Mz1wgF8F8X0mmOZ1NaYMhhRtAC5rChnUjzrnNlxumvLiZU/96irBN/ZPIa571uDNG4+GCq6qJiYM+NWg==" saltValue="/KCNTVoo2A/bYGwN7fJFe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228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18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102" t="s">
        <v>12</v>
      </c>
      <c r="C9" s="103"/>
      <c r="D9" s="103"/>
      <c r="E9" s="103"/>
      <c r="F9" s="104"/>
      <c r="G9" s="9">
        <v>25353311</v>
      </c>
      <c r="H9" s="14" t="s">
        <v>3</v>
      </c>
      <c r="I9" s="1"/>
    </row>
    <row r="10" spans="1:9" x14ac:dyDescent="0.25">
      <c r="A10" s="1"/>
      <c r="B10" s="102" t="s">
        <v>135</v>
      </c>
      <c r="C10" s="103"/>
      <c r="D10" s="103"/>
      <c r="E10" s="103"/>
      <c r="F10" s="104"/>
      <c r="G10" s="9">
        <v>0</v>
      </c>
      <c r="H10" s="14" t="s">
        <v>3</v>
      </c>
      <c r="I10" s="1"/>
    </row>
    <row r="11" spans="1:9" x14ac:dyDescent="0.25">
      <c r="A11" s="1"/>
      <c r="B11" s="102" t="s">
        <v>78</v>
      </c>
      <c r="C11" s="103"/>
      <c r="D11" s="103"/>
      <c r="E11" s="103"/>
      <c r="F11" s="104"/>
      <c r="G11" s="9">
        <v>-22972719.486772485</v>
      </c>
      <c r="H11" s="14" t="s">
        <v>3</v>
      </c>
      <c r="I11" s="1"/>
    </row>
    <row r="12" spans="1:9" x14ac:dyDescent="0.25">
      <c r="A12" s="1"/>
      <c r="B12" s="123" t="s">
        <v>15</v>
      </c>
      <c r="C12" s="124"/>
      <c r="D12" s="124"/>
      <c r="E12" s="124"/>
      <c r="F12" s="125"/>
      <c r="G12" s="19">
        <f>(G9+G10)+G11</f>
        <v>2380591.5132275149</v>
      </c>
      <c r="H12" s="18" t="s">
        <v>3</v>
      </c>
      <c r="I12" s="1"/>
    </row>
    <row r="13" spans="1:9" x14ac:dyDescent="0.25">
      <c r="A13" s="1"/>
      <c r="B13" s="102" t="s">
        <v>13</v>
      </c>
      <c r="C13" s="103"/>
      <c r="D13" s="103"/>
      <c r="E13" s="103"/>
      <c r="F13" s="104"/>
      <c r="G13" s="9">
        <v>1</v>
      </c>
      <c r="H13" s="14" t="s">
        <v>28</v>
      </c>
      <c r="I13" s="1"/>
    </row>
    <row r="14" spans="1:9" x14ac:dyDescent="0.25">
      <c r="A14" s="1"/>
      <c r="B14" s="75" t="s">
        <v>136</v>
      </c>
      <c r="C14" s="76"/>
      <c r="D14" s="76"/>
      <c r="E14" s="76"/>
      <c r="F14" s="77"/>
      <c r="G14" s="12">
        <f>IF(G13 = 0,0,-G12/G13)</f>
        <v>-2380591.5132275149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iuxzct0Xx3HiNnobTtFxLPdfx7o9AWcYvrlrUJ3z7etZ0qsO+6m+n/E9ZdsEKDzspQpqnPp/tHUAxujFI688w==" saltValue="2RX49jexrNFBaNiXb5Ogw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62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3" t="s">
        <v>20</v>
      </c>
      <c r="C8" s="44"/>
      <c r="D8" s="22"/>
      <c r="E8" s="1"/>
    </row>
    <row r="9" spans="1:5" x14ac:dyDescent="0.25">
      <c r="A9" s="1"/>
      <c r="B9" s="41" t="s">
        <v>35</v>
      </c>
      <c r="C9" s="7">
        <f>'Fane 3. Omkostninger i ØR2019'!E20</f>
        <v>119666955.02973588</v>
      </c>
      <c r="D9" s="8" t="s">
        <v>3</v>
      </c>
      <c r="E9" s="1"/>
    </row>
    <row r="10" spans="1:5" x14ac:dyDescent="0.25">
      <c r="A10" s="1"/>
      <c r="B10" s="49" t="s">
        <v>205</v>
      </c>
      <c r="C10" s="7">
        <f>SUM('Fane 3. Omkostninger i ØR2019'!E10,'Fane 3. Omkostninger i ØR2019'!E12,'Fane 3. Omkostninger i ØR2019'!E14)*(1-'Fane 15. Nøgletal'!C25-'Fane 5. Individuelt eff. krav'!G10)*(1+'Fane 15. Nøgletal'!C11)</f>
        <v>-193432.78994855724</v>
      </c>
      <c r="D10" s="8" t="s">
        <v>3</v>
      </c>
      <c r="E10" s="1"/>
    </row>
    <row r="11" spans="1:5" x14ac:dyDescent="0.25">
      <c r="A11" s="1"/>
      <c r="B11" s="49" t="s">
        <v>206</v>
      </c>
      <c r="C11" s="7">
        <f>SUM('Fane 3. Omkostninger i ØR2019'!E11,'Fane 3. Omkostninger i ØR2019'!E13,'Fane 3. Omkostninger i ØR2019'!E15)*(1-'Fane 15. Nøgletal'!C19-'Fane 5. Individuelt eff. krav'!G10)*(1+'Fane 15. Nøgletal'!C11)</f>
        <v>242849.75007861282</v>
      </c>
      <c r="D11" s="8" t="s">
        <v>3</v>
      </c>
      <c r="E11" s="1"/>
    </row>
    <row r="12" spans="1:5" ht="17.100000000000001" customHeight="1" x14ac:dyDescent="0.25">
      <c r="A12" s="1"/>
      <c r="B12" s="51" t="s">
        <v>64</v>
      </c>
      <c r="C12" s="7">
        <f>'Fane 10.1. Varige tillæg'!C13</f>
        <v>0</v>
      </c>
      <c r="D12" s="8" t="s">
        <v>3</v>
      </c>
      <c r="E12" s="1"/>
    </row>
    <row r="13" spans="1:5" ht="17.100000000000001" customHeight="1" x14ac:dyDescent="0.25">
      <c r="A13" s="1"/>
      <c r="B13" s="51" t="s">
        <v>65</v>
      </c>
      <c r="C13" s="9">
        <f>'Fane 10.1. Varige tillæg'!E13</f>
        <v>699508.10776836006</v>
      </c>
      <c r="D13" s="8" t="s">
        <v>3</v>
      </c>
      <c r="E13" s="1"/>
    </row>
    <row r="14" spans="1:5" ht="17.100000000000001" customHeight="1" x14ac:dyDescent="0.25">
      <c r="A14" s="1"/>
      <c r="B14" s="51" t="s">
        <v>42</v>
      </c>
      <c r="C14" s="9">
        <f>-'Fane 13.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51" t="s">
        <v>41</v>
      </c>
      <c r="C15" s="9">
        <f>-'Fane 13.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51" t="s">
        <v>44</v>
      </c>
      <c r="C16" s="9">
        <f>'Fane 12. Tilknyttet aktivitet'!C12</f>
        <v>0</v>
      </c>
      <c r="D16" s="8" t="s">
        <v>3</v>
      </c>
      <c r="E16" s="1"/>
    </row>
    <row r="17" spans="1:5" ht="17.100000000000001" customHeight="1" x14ac:dyDescent="0.25">
      <c r="A17" s="1"/>
      <c r="B17" s="51" t="s">
        <v>43</v>
      </c>
      <c r="C17" s="9">
        <f>'Fane 12. Tilknyttet aktivitet'!E12</f>
        <v>0</v>
      </c>
      <c r="D17" s="8" t="s">
        <v>3</v>
      </c>
      <c r="E17" s="1"/>
    </row>
    <row r="18" spans="1:5" ht="17.100000000000001" customHeight="1" x14ac:dyDescent="0.25">
      <c r="A18" s="1"/>
      <c r="B18" s="51" t="s">
        <v>27</v>
      </c>
      <c r="C18" s="9">
        <f>(C9-SUM(C10:C11))*'Fane 15. Nøgletal'!C10+SUM(C10:C11)*'Fane 15. Nøgletal'!C11+SUM('Fane 2.1. Økonomisk ramme 2020'!C12:C17)*'Fane 15. Nøgletal'!C12</f>
        <v>2107922.372567337</v>
      </c>
      <c r="D18" s="8" t="s">
        <v>3</v>
      </c>
      <c r="E18" s="1"/>
    </row>
    <row r="19" spans="1:5" ht="17.100000000000001" customHeight="1" x14ac:dyDescent="0.25">
      <c r="A19" s="1"/>
      <c r="B19" s="51" t="s">
        <v>10</v>
      </c>
      <c r="C19" s="9">
        <f>-SUM(C9,C12:C18)*'Fane 5. Individuelt eff. krav'!G10</f>
        <v>0</v>
      </c>
      <c r="D19" s="8" t="s">
        <v>3</v>
      </c>
      <c r="E19" s="1"/>
    </row>
    <row r="20" spans="1:5" ht="17.100000000000001" customHeight="1" x14ac:dyDescent="0.25">
      <c r="A20" s="1"/>
      <c r="B20" s="51" t="s">
        <v>39</v>
      </c>
      <c r="C20" s="9">
        <f>-'Fane 4.1. Gen. krav - drift'!G28</f>
        <v>-834599.75882369489</v>
      </c>
      <c r="D20" s="8" t="s">
        <v>3</v>
      </c>
      <c r="E20" s="1"/>
    </row>
    <row r="21" spans="1:5" ht="17.100000000000001" customHeight="1" x14ac:dyDescent="0.25">
      <c r="A21" s="1"/>
      <c r="B21" s="51" t="s">
        <v>40</v>
      </c>
      <c r="C21" s="9">
        <f>-'Fane 4.2. Gen. krav - anlæg'!G26</f>
        <v>-1441356.7835986074</v>
      </c>
      <c r="D21" s="8" t="s">
        <v>3</v>
      </c>
      <c r="E21" s="1"/>
    </row>
    <row r="22" spans="1:5" ht="17.100000000000001" customHeight="1" x14ac:dyDescent="0.25">
      <c r="A22" s="1"/>
      <c r="B22" s="45" t="s">
        <v>29</v>
      </c>
      <c r="C22" s="10">
        <f>SUM(C9,C12:C21)</f>
        <v>120198428.96764928</v>
      </c>
      <c r="D22" s="11" t="s">
        <v>3</v>
      </c>
      <c r="E22" s="1"/>
    </row>
    <row r="23" spans="1:5" ht="15" customHeight="1" x14ac:dyDescent="0.25">
      <c r="A23" s="1"/>
      <c r="B23" s="43" t="s">
        <v>17</v>
      </c>
      <c r="C23" s="44"/>
      <c r="D23" s="22"/>
      <c r="E23" s="1"/>
    </row>
    <row r="24" spans="1:5" ht="15" customHeight="1" x14ac:dyDescent="0.25">
      <c r="A24" s="1"/>
      <c r="B24" s="38" t="s">
        <v>17</v>
      </c>
      <c r="C24" s="10">
        <f>'Fane 6. Ikke-påvirkelige omk.'!C17+'Fane 6. Ikke-påvirkelige omk.'!C21+'Fane 6. Ikke-påvirkelige omk.'!C29</f>
        <v>3253278.4013471249</v>
      </c>
      <c r="D24" s="11" t="s">
        <v>3</v>
      </c>
      <c r="E24" s="1"/>
    </row>
    <row r="25" spans="1:5" ht="15" customHeight="1" x14ac:dyDescent="0.25">
      <c r="A25" s="1"/>
      <c r="B25" s="43" t="s">
        <v>143</v>
      </c>
      <c r="C25" s="44"/>
      <c r="D25" s="22"/>
      <c r="E25" s="1"/>
    </row>
    <row r="26" spans="1:5" ht="15" customHeight="1" x14ac:dyDescent="0.25">
      <c r="A26" s="1"/>
      <c r="B26" s="45" t="s">
        <v>143</v>
      </c>
      <c r="C26" s="10">
        <f>'Fane 11. Periodevise driftsomk.'!E12</f>
        <v>0</v>
      </c>
      <c r="D26" s="11" t="s">
        <v>3</v>
      </c>
      <c r="E26" s="1"/>
    </row>
    <row r="27" spans="1:5" ht="15" customHeight="1" x14ac:dyDescent="0.25">
      <c r="A27" s="1"/>
      <c r="B27" s="43" t="s">
        <v>142</v>
      </c>
      <c r="C27" s="44"/>
      <c r="D27" s="22"/>
      <c r="E27" s="1"/>
    </row>
    <row r="28" spans="1:5" ht="15" customHeight="1" x14ac:dyDescent="0.25">
      <c r="A28" s="1"/>
      <c r="B28" s="51" t="s">
        <v>138</v>
      </c>
      <c r="C28" s="9">
        <f>'Fane 10.2. Engangstillæg'!C14</f>
        <v>0</v>
      </c>
      <c r="D28" s="8" t="s">
        <v>3</v>
      </c>
      <c r="E28" s="1"/>
    </row>
    <row r="29" spans="1:5" ht="15" customHeight="1" x14ac:dyDescent="0.25">
      <c r="A29" s="1"/>
      <c r="B29" s="51" t="s">
        <v>139</v>
      </c>
      <c r="C29" s="9">
        <f>'Fane 10.2. Engangstillæg'!E14</f>
        <v>0</v>
      </c>
      <c r="D29" s="8" t="s">
        <v>3</v>
      </c>
      <c r="E29" s="1"/>
    </row>
    <row r="30" spans="1:5" x14ac:dyDescent="0.25">
      <c r="A30" s="1"/>
      <c r="B30" s="45" t="s">
        <v>145</v>
      </c>
      <c r="C30" s="10">
        <f>SUM(C28:C29)</f>
        <v>0</v>
      </c>
      <c r="D30" s="11" t="s">
        <v>3</v>
      </c>
      <c r="E30" s="1"/>
    </row>
    <row r="31" spans="1:5" x14ac:dyDescent="0.25">
      <c r="A31" s="1"/>
      <c r="B31" s="43" t="s">
        <v>11</v>
      </c>
      <c r="C31" s="44"/>
      <c r="D31" s="22"/>
      <c r="E31" s="1"/>
    </row>
    <row r="32" spans="1:5" ht="15" customHeight="1" x14ac:dyDescent="0.25">
      <c r="A32" s="1"/>
      <c r="B32" s="38" t="s">
        <v>19</v>
      </c>
      <c r="C32" s="10">
        <f>'Fane 14. Hist. over-underdæk.'!G14</f>
        <v>-2380591.5132275149</v>
      </c>
      <c r="D32" s="11" t="s">
        <v>3</v>
      </c>
      <c r="E32" s="1"/>
    </row>
    <row r="33" spans="1:5" ht="15" customHeight="1" x14ac:dyDescent="0.25">
      <c r="A33" s="1"/>
      <c r="B33" s="43" t="s">
        <v>258</v>
      </c>
      <c r="C33" s="44"/>
      <c r="D33" s="22"/>
      <c r="E33" s="1"/>
    </row>
    <row r="34" spans="1:5" x14ac:dyDescent="0.25">
      <c r="A34" s="1"/>
      <c r="B34" s="38" t="s">
        <v>259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3" t="s">
        <v>36</v>
      </c>
      <c r="C35" s="12">
        <f>SUM(C22,C24,C26,C30,C32,C34)</f>
        <v>121071115.85576889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Qx8n6zi1K0093zDPGQHPO24QVgdmuh+wh40rfouXA43S7KAwqoLYftuQ/2ai46qEnqg/UNt9ZztQ+IqE1+qTEQ==" saltValue="GMl+VHezvIJwEoHRggDQu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6" t="s">
        <v>208</v>
      </c>
      <c r="C3" s="96"/>
      <c r="D3" s="1"/>
    </row>
    <row r="4" spans="1:4" ht="25.5" customHeight="1" x14ac:dyDescent="0.25">
      <c r="A4" s="1"/>
      <c r="B4" s="96"/>
      <c r="C4" s="9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21</v>
      </c>
      <c r="C8" s="22"/>
      <c r="D8" s="1"/>
    </row>
    <row r="9" spans="1:4" x14ac:dyDescent="0.25">
      <c r="A9" s="1"/>
      <c r="B9" s="47" t="s">
        <v>236</v>
      </c>
      <c r="C9" s="28">
        <v>1.2699999999999999E-2</v>
      </c>
      <c r="D9" s="1"/>
    </row>
    <row r="10" spans="1:4" x14ac:dyDescent="0.25">
      <c r="A10" s="1"/>
      <c r="B10" s="47" t="s">
        <v>237</v>
      </c>
      <c r="C10" s="28">
        <v>1.7500000000000002E-2</v>
      </c>
      <c r="D10" s="1"/>
    </row>
    <row r="11" spans="1:4" x14ac:dyDescent="0.25">
      <c r="A11" s="1"/>
      <c r="B11" s="47" t="s">
        <v>31</v>
      </c>
      <c r="C11" s="28">
        <v>1.6899999999999998E-2</v>
      </c>
      <c r="D11" s="1"/>
    </row>
    <row r="12" spans="1:4" x14ac:dyDescent="0.25">
      <c r="A12" s="1"/>
      <c r="B12" s="32" t="s">
        <v>70</v>
      </c>
      <c r="C12" s="33">
        <v>1.9699999999999999E-2</v>
      </c>
      <c r="D12" s="1"/>
    </row>
    <row r="13" spans="1:4" x14ac:dyDescent="0.25">
      <c r="A13" s="1"/>
      <c r="B13" s="43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3" t="s">
        <v>204</v>
      </c>
      <c r="C16" s="22"/>
      <c r="D16" s="1"/>
    </row>
    <row r="17" spans="1:4" x14ac:dyDescent="0.25">
      <c r="A17" s="1"/>
      <c r="B17" s="47" t="s">
        <v>238</v>
      </c>
      <c r="C17" s="25">
        <v>9.1000000000000004E-3</v>
      </c>
      <c r="D17" s="1"/>
    </row>
    <row r="18" spans="1:4" x14ac:dyDescent="0.25">
      <c r="A18" s="1"/>
      <c r="B18" s="47" t="s">
        <v>240</v>
      </c>
      <c r="C18" s="25">
        <v>1.77E-2</v>
      </c>
      <c r="D18" s="1"/>
    </row>
    <row r="19" spans="1:4" x14ac:dyDescent="0.25">
      <c r="A19" s="1"/>
      <c r="B19" s="47" t="s">
        <v>239</v>
      </c>
      <c r="C19" s="25">
        <v>8.6999999999999994E-3</v>
      </c>
      <c r="D19" s="1"/>
    </row>
    <row r="20" spans="1:4" x14ac:dyDescent="0.25">
      <c r="A20" s="1"/>
      <c r="B20" s="47" t="s">
        <v>241</v>
      </c>
      <c r="C20" s="34">
        <v>2.8400000000000002E-2</v>
      </c>
      <c r="D20" s="1"/>
    </row>
    <row r="21" spans="1:4" x14ac:dyDescent="0.25">
      <c r="A21" s="1"/>
      <c r="B21" s="43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3" t="s">
        <v>203</v>
      </c>
      <c r="C24" s="22"/>
      <c r="D24" s="1"/>
    </row>
    <row r="25" spans="1:4" x14ac:dyDescent="0.25">
      <c r="A25" s="1"/>
      <c r="B25" s="47" t="s">
        <v>242</v>
      </c>
      <c r="C25" s="28">
        <v>0.02</v>
      </c>
      <c r="D25" s="1"/>
    </row>
    <row r="26" spans="1:4" x14ac:dyDescent="0.25">
      <c r="A26" s="1"/>
      <c r="B26" s="43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ICxLvGzl4ZsFHCenrSQgegOUdBxxK9WlTptDCnjS+VTs79Mfp2JOul5EpjQasjbhnhko/q9JYj6IChDFqvh2+w==" saltValue="ALHkLEjzttpB2i/xGe2f4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82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3" t="s">
        <v>20</v>
      </c>
      <c r="C8" s="44"/>
      <c r="D8" s="22"/>
      <c r="E8" s="1"/>
    </row>
    <row r="9" spans="1:5" ht="15" customHeight="1" x14ac:dyDescent="0.25">
      <c r="A9" s="1"/>
      <c r="B9" s="41" t="s">
        <v>37</v>
      </c>
      <c r="C9" s="7">
        <f>'Fane 2.1. Økonomisk ramme 2020'!C22</f>
        <v>120198428.96764928</v>
      </c>
      <c r="D9" s="8" t="s">
        <v>3</v>
      </c>
      <c r="E9" s="1"/>
    </row>
    <row r="10" spans="1:5" ht="15" customHeight="1" x14ac:dyDescent="0.25">
      <c r="A10" s="1"/>
      <c r="B10" s="49" t="s">
        <v>205</v>
      </c>
      <c r="C10" s="7">
        <f>'Fane 2.1. Økonomisk ramme 2020'!C10*(1-'Fane 15. Nøgletal'!C25-'Fane 5. Individuelt eff. krav'!G10)*(1+'Fane 15. Nøgletal'!C11)</f>
        <v>-192767.76801671408</v>
      </c>
      <c r="D10" s="8" t="s">
        <v>3</v>
      </c>
      <c r="E10" s="1"/>
    </row>
    <row r="11" spans="1:5" ht="15" customHeight="1" x14ac:dyDescent="0.25">
      <c r="A11" s="1"/>
      <c r="B11" s="49" t="s">
        <v>206</v>
      </c>
      <c r="C11" s="7">
        <f>'Fane 2.1. Økonomisk ramme 2020'!C11*(1-'Fane 15. Nøgletal'!C19-'Fane 5. Individuelt eff. krav'!G10)*(1+'Fane 15. Nøgletal'!C11)</f>
        <v>244805.41183050335</v>
      </c>
      <c r="D11" s="8" t="s">
        <v>3</v>
      </c>
      <c r="E11" s="1"/>
    </row>
    <row r="12" spans="1:5" ht="15" customHeight="1" x14ac:dyDescent="0.25">
      <c r="A12" s="1"/>
      <c r="B12" s="49" t="s">
        <v>213</v>
      </c>
      <c r="C12" s="7">
        <f>('Fane 2.1. Økonomisk ramme 2020'!C12+'Fane 2.1. Økonomisk ramme 2020'!C14+'Fane 2.1. Økonomisk ramme 2020'!C16)*(1-'Fane 15. Nøgletal'!C25-'Fane 5. Individuelt eff. krav'!G10)*(1+'Fane 15. Nøgletal'!C12)</f>
        <v>0</v>
      </c>
      <c r="D12" s="8" t="s">
        <v>3</v>
      </c>
      <c r="E12" s="1"/>
    </row>
    <row r="13" spans="1:5" ht="15" customHeight="1" x14ac:dyDescent="0.25">
      <c r="A13" s="1"/>
      <c r="B13" s="49" t="s">
        <v>217</v>
      </c>
      <c r="C13" s="7">
        <f>('Fane 2.1. Økonomisk ramme 2020'!C13+'Fane 2.1. Økonomisk ramme 2020'!C15+'Fane 2.1. Økonomisk ramme 2020'!C17)*(1-'Fane 15. Nøgletal'!C20-'Fane 5. Individuelt eff. krav'!G10)*(1+'Fane 15. Nøgletal'!C12)</f>
        <v>693031.0264346411</v>
      </c>
      <c r="D13" s="8" t="s">
        <v>3</v>
      </c>
      <c r="E13" s="1"/>
    </row>
    <row r="14" spans="1:5" ht="15" customHeight="1" x14ac:dyDescent="0.25">
      <c r="A14" s="1"/>
      <c r="B14" s="51" t="s">
        <v>42</v>
      </c>
      <c r="C14" s="7">
        <f>-'Fane 13. Bortfald'!C18</f>
        <v>0</v>
      </c>
      <c r="D14" s="8" t="s">
        <v>3</v>
      </c>
      <c r="E14" s="1"/>
    </row>
    <row r="15" spans="1:5" ht="15" customHeight="1" x14ac:dyDescent="0.25">
      <c r="A15" s="1"/>
      <c r="B15" s="51" t="s">
        <v>41</v>
      </c>
      <c r="C15" s="7">
        <f>-'Fane 13. Bortfald'!E18</f>
        <v>0</v>
      </c>
      <c r="D15" s="8" t="s">
        <v>3</v>
      </c>
      <c r="E15" s="1"/>
    </row>
    <row r="16" spans="1:5" ht="15" customHeight="1" x14ac:dyDescent="0.25">
      <c r="A16" s="1"/>
      <c r="B16" s="42" t="s">
        <v>27</v>
      </c>
      <c r="C16" s="9">
        <f>(C9-SUM(C10:C13))*'Fane 15. Nøgletal'!C10+SUM(C10:C11)*'Fane 15. Nøgletal'!C11+SUM(C12:C15)*'Fane 15. Nøgletal'!C12</f>
        <v>2104965.9526057304</v>
      </c>
      <c r="D16" s="8" t="s">
        <v>3</v>
      </c>
      <c r="E16" s="1"/>
    </row>
    <row r="17" spans="1:5" ht="15" customHeight="1" x14ac:dyDescent="0.25">
      <c r="A17" s="1"/>
      <c r="B17" s="42" t="s">
        <v>10</v>
      </c>
      <c r="C17" s="9">
        <f>-SUM(C9,C14:C16)*'Fane 5. Individuelt eff. krav'!G10</f>
        <v>0</v>
      </c>
      <c r="D17" s="8" t="s">
        <v>3</v>
      </c>
      <c r="E17" s="1"/>
    </row>
    <row r="18" spans="1:5" ht="15" customHeight="1" x14ac:dyDescent="0.25">
      <c r="A18" s="1"/>
      <c r="B18" s="42" t="s">
        <v>39</v>
      </c>
      <c r="C18" s="9">
        <f>-'Fane 4.1. Gen. krav - drift'!G36</f>
        <v>-832223.46272426366</v>
      </c>
      <c r="D18" s="8" t="s">
        <v>3</v>
      </c>
      <c r="E18" s="1"/>
    </row>
    <row r="19" spans="1:5" ht="15" customHeight="1" x14ac:dyDescent="0.25">
      <c r="A19" s="1"/>
      <c r="B19" s="42" t="s">
        <v>40</v>
      </c>
      <c r="C19" s="9">
        <f>-'Fane 4.2. Gen. krav - anlæg'!G34</f>
        <v>-1440463.2022714836</v>
      </c>
      <c r="D19" s="8" t="s">
        <v>3</v>
      </c>
      <c r="E19" s="1"/>
    </row>
    <row r="20" spans="1:5" ht="15" customHeight="1" x14ac:dyDescent="0.25">
      <c r="A20" s="1"/>
      <c r="B20" s="46" t="s">
        <v>29</v>
      </c>
      <c r="C20" s="10">
        <f>SUM(C9,C14:C19)</f>
        <v>120030708.25525926</v>
      </c>
      <c r="D20" s="11" t="s">
        <v>3</v>
      </c>
      <c r="E20" s="1"/>
    </row>
    <row r="21" spans="1:5" x14ac:dyDescent="0.25">
      <c r="A21" s="1"/>
      <c r="B21" s="43" t="s">
        <v>17</v>
      </c>
      <c r="C21" s="4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omk.'!C17*(1+'Fane 15. Nøgletal'!C12)+'Fane 6. Ikke-påvirkelige omk.'!C22+'Fane 6. Ikke-påvirkelige omk.'!C30</f>
        <v>3317367.9858536636</v>
      </c>
      <c r="D22" s="11" t="s">
        <v>3</v>
      </c>
      <c r="E22" s="1"/>
    </row>
    <row r="23" spans="1:5" ht="15" customHeight="1" x14ac:dyDescent="0.25">
      <c r="A23" s="1"/>
      <c r="B23" s="43" t="s">
        <v>143</v>
      </c>
      <c r="C23" s="44"/>
      <c r="D23" s="22"/>
      <c r="E23" s="1"/>
    </row>
    <row r="24" spans="1:5" ht="15" customHeight="1" x14ac:dyDescent="0.25">
      <c r="A24" s="1"/>
      <c r="B24" s="45" t="s">
        <v>144</v>
      </c>
      <c r="C24" s="10">
        <f>'Fane 11. Periodevise driftsomk.'!E18</f>
        <v>0</v>
      </c>
      <c r="D24" s="11" t="s">
        <v>3</v>
      </c>
      <c r="E24" s="1"/>
    </row>
    <row r="25" spans="1:5" ht="15" customHeight="1" x14ac:dyDescent="0.25">
      <c r="A25" s="1"/>
      <c r="B25" s="43" t="s">
        <v>142</v>
      </c>
      <c r="C25" s="44"/>
      <c r="D25" s="22"/>
      <c r="E25" s="1"/>
    </row>
    <row r="26" spans="1:5" ht="15" customHeight="1" x14ac:dyDescent="0.25">
      <c r="A26" s="1"/>
      <c r="B26" s="51" t="s">
        <v>138</v>
      </c>
      <c r="C26" s="9">
        <f>'Fane 10.2. Engangstillæg'!C22</f>
        <v>0</v>
      </c>
      <c r="D26" s="8" t="s">
        <v>3</v>
      </c>
      <c r="E26" s="1"/>
    </row>
    <row r="27" spans="1:5" ht="15" customHeight="1" x14ac:dyDescent="0.25">
      <c r="A27" s="1"/>
      <c r="B27" s="51" t="s">
        <v>139</v>
      </c>
      <c r="C27" s="9">
        <f>'Fane 10.2. Engangstillæg'!E22</f>
        <v>0</v>
      </c>
      <c r="D27" s="8" t="s">
        <v>3</v>
      </c>
      <c r="E27" s="1"/>
    </row>
    <row r="28" spans="1:5" ht="15" customHeight="1" x14ac:dyDescent="0.25">
      <c r="A28" s="1"/>
      <c r="B28" s="45" t="s">
        <v>145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3" t="s">
        <v>45</v>
      </c>
      <c r="C29" s="12">
        <f>SUM(C20,C22,C24,C28,)</f>
        <v>123348076.24111292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V/7QExiomzyDnOKvtQPpAx8RlmI/u/Nnan1V6ZK+NVkVRtwwY8MKOrkSoMeQ0VAGZEBTj1fPTASoHpcnTumqnQ==" saltValue="VTLa+5S1mSxJ3z1dEg9Hi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215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30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3" t="s">
        <v>20</v>
      </c>
      <c r="C7" s="44"/>
      <c r="D7" s="22"/>
      <c r="E7" s="1"/>
    </row>
    <row r="8" spans="1:5" ht="15" customHeight="1" x14ac:dyDescent="0.25">
      <c r="A8" s="1"/>
      <c r="B8" s="41" t="s">
        <v>38</v>
      </c>
      <c r="C8" s="7">
        <f>'Fane 2.2. Økonomisk ramme 2021'!C20</f>
        <v>120030708.25525926</v>
      </c>
      <c r="D8" s="8" t="s">
        <v>3</v>
      </c>
      <c r="E8" s="1"/>
    </row>
    <row r="9" spans="1:5" ht="15" customHeight="1" x14ac:dyDescent="0.25">
      <c r="A9" s="1"/>
      <c r="B9" s="41" t="s">
        <v>42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1" t="s">
        <v>41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2" t="s">
        <v>27</v>
      </c>
      <c r="C11" s="9">
        <f>SUM(C8:C10)*'Fane 15. Nøgletal'!C12</f>
        <v>2364604.9526286074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2" t="s">
        <v>39</v>
      </c>
      <c r="C13" s="9">
        <f>-'Fane 4.1. Gen. krav - drift'!G42</f>
        <v>-831645.89964113315</v>
      </c>
      <c r="D13" s="8" t="s">
        <v>3</v>
      </c>
      <c r="E13" s="1"/>
    </row>
    <row r="14" spans="1:5" ht="15" customHeight="1" x14ac:dyDescent="0.25">
      <c r="A14" s="1"/>
      <c r="B14" s="42" t="s">
        <v>40</v>
      </c>
      <c r="C14" s="9">
        <f>-'Fane 4.2. Gen. krav - anlæg'!G40</f>
        <v>-2306362.3904111902</v>
      </c>
      <c r="D14" s="8" t="s">
        <v>3</v>
      </c>
      <c r="E14" s="1"/>
    </row>
    <row r="15" spans="1:5" x14ac:dyDescent="0.25">
      <c r="A15" s="1"/>
      <c r="B15" s="46" t="s">
        <v>29</v>
      </c>
      <c r="C15" s="10">
        <f>SUM(C8:C14)</f>
        <v>119257304.91783556</v>
      </c>
      <c r="D15" s="11" t="s">
        <v>3</v>
      </c>
      <c r="E15" s="1"/>
    </row>
    <row r="16" spans="1:5" x14ac:dyDescent="0.25">
      <c r="A16" s="1"/>
      <c r="B16" s="43" t="s">
        <v>17</v>
      </c>
      <c r="C16" s="44"/>
      <c r="D16" s="22"/>
      <c r="E16" s="1"/>
    </row>
    <row r="17" spans="1:5" ht="15" customHeight="1" x14ac:dyDescent="0.25">
      <c r="A17" s="1"/>
      <c r="B17" s="38" t="s">
        <v>17</v>
      </c>
      <c r="C17" s="10">
        <f>'Fane 6. Ikke-påvirkelige omk.'!C17*(1+'Fane 15. Nøgletal'!C12)^2+'Fane 6. Ikke-påvirkelige omk.'!C23+'Fane 6. Ikke-påvirkelige omk.'!C31</f>
        <v>3382720.1351749809</v>
      </c>
      <c r="D17" s="11" t="s">
        <v>3</v>
      </c>
      <c r="E17" s="1"/>
    </row>
    <row r="18" spans="1:5" ht="15" customHeight="1" x14ac:dyDescent="0.25">
      <c r="A18" s="1"/>
      <c r="B18" s="43" t="s">
        <v>143</v>
      </c>
      <c r="C18" s="44"/>
      <c r="D18" s="22"/>
      <c r="E18" s="1"/>
    </row>
    <row r="19" spans="1:5" ht="15" customHeight="1" x14ac:dyDescent="0.25">
      <c r="A19" s="1"/>
      <c r="B19" s="45" t="s">
        <v>144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43" t="s">
        <v>142</v>
      </c>
      <c r="C20" s="44"/>
      <c r="D20" s="22"/>
      <c r="E20" s="1"/>
    </row>
    <row r="21" spans="1:5" ht="15" customHeight="1" x14ac:dyDescent="0.25">
      <c r="A21" s="1"/>
      <c r="B21" s="51" t="s">
        <v>138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51" t="s">
        <v>139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5" t="s">
        <v>145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3" t="s">
        <v>171</v>
      </c>
      <c r="C24" s="44"/>
      <c r="D24" s="22"/>
      <c r="E24" s="1"/>
    </row>
    <row r="25" spans="1:5" ht="15" customHeight="1" x14ac:dyDescent="0.25">
      <c r="A25" s="1"/>
      <c r="B25" s="38" t="s">
        <v>211</v>
      </c>
      <c r="C25" s="10">
        <f>'Fane 7. Kontrol af ØR2018'!E28</f>
        <v>0</v>
      </c>
      <c r="D25" s="11" t="s">
        <v>3</v>
      </c>
      <c r="E25" s="1"/>
    </row>
    <row r="26" spans="1:5" x14ac:dyDescent="0.25">
      <c r="A26" s="1"/>
      <c r="B26" s="43" t="s">
        <v>46</v>
      </c>
      <c r="C26" s="12">
        <f>SUM(C15,C17,C19,C23,C25)</f>
        <v>122640025.05301054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L5ayZ03T4lXftl5Tuf0qZhwxVmcfba0sxOjmOipue4YbOAn85l9JmTLmuxqYOIb4phb8wpLyekJpKXZJIVqLpA==" saltValue="vAaRTjpLYesRXVOs8ujvp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216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30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3" t="s">
        <v>20</v>
      </c>
      <c r="C7" s="44"/>
      <c r="D7" s="22"/>
      <c r="E7" s="1"/>
    </row>
    <row r="8" spans="1:5" ht="15" customHeight="1" x14ac:dyDescent="0.25">
      <c r="A8" s="1"/>
      <c r="B8" s="41" t="s">
        <v>220</v>
      </c>
      <c r="C8" s="7">
        <f>'Fane 2.3. Økonomisk ramme 2022'!C15</f>
        <v>119257304.91783556</v>
      </c>
      <c r="D8" s="8" t="s">
        <v>3</v>
      </c>
      <c r="E8" s="1"/>
    </row>
    <row r="9" spans="1:5" ht="15" customHeight="1" x14ac:dyDescent="0.25">
      <c r="A9" s="1"/>
      <c r="B9" s="41" t="s">
        <v>42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1" t="s">
        <v>41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2" t="s">
        <v>27</v>
      </c>
      <c r="C11" s="9">
        <f>C8*'Fane 15. Nøgletal'!C12</f>
        <v>2349368.9068813603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2" t="s">
        <v>39</v>
      </c>
      <c r="C13" s="9">
        <f>-'Fane 4.1. Gen. krav - drift'!G48</f>
        <v>-831068.73738678219</v>
      </c>
      <c r="D13" s="8" t="s">
        <v>3</v>
      </c>
      <c r="E13" s="1"/>
    </row>
    <row r="14" spans="1:5" ht="15" customHeight="1" x14ac:dyDescent="0.25">
      <c r="A14" s="1"/>
      <c r="B14" s="42" t="s">
        <v>40</v>
      </c>
      <c r="C14" s="9">
        <f>-'Fane 4.2. Gen. krav - anlæg'!G46</f>
        <v>-2285006.6739844256</v>
      </c>
      <c r="D14" s="8" t="s">
        <v>3</v>
      </c>
      <c r="E14" s="1"/>
    </row>
    <row r="15" spans="1:5" x14ac:dyDescent="0.25">
      <c r="A15" s="1"/>
      <c r="B15" s="46" t="s">
        <v>29</v>
      </c>
      <c r="C15" s="10">
        <f>SUM(C8:C14)</f>
        <v>118490598.41334572</v>
      </c>
      <c r="D15" s="11" t="s">
        <v>3</v>
      </c>
      <c r="E15" s="1"/>
    </row>
    <row r="16" spans="1:5" x14ac:dyDescent="0.25">
      <c r="A16" s="1"/>
      <c r="B16" s="43" t="s">
        <v>17</v>
      </c>
      <c r="C16" s="44"/>
      <c r="D16" s="22"/>
      <c r="E16" s="1"/>
    </row>
    <row r="17" spans="1:5" ht="15" customHeight="1" x14ac:dyDescent="0.25">
      <c r="A17" s="1"/>
      <c r="B17" s="38" t="s">
        <v>17</v>
      </c>
      <c r="C17" s="10">
        <f>'Fane 6. Ikke-påvirkelige omk.'!C17*(1+'Fane 15. Nøgletal'!C12)^3+'Fane 6. Ikke-påvirkelige omk.'!C24+'Fane 6. Ikke-påvirkelige omk.'!C32</f>
        <v>3449359.7218379276</v>
      </c>
      <c r="D17" s="11" t="s">
        <v>3</v>
      </c>
      <c r="E17" s="1"/>
    </row>
    <row r="18" spans="1:5" ht="15" customHeight="1" x14ac:dyDescent="0.25">
      <c r="A18" s="1"/>
      <c r="B18" s="43" t="s">
        <v>143</v>
      </c>
      <c r="C18" s="44"/>
      <c r="D18" s="22"/>
      <c r="E18" s="1"/>
    </row>
    <row r="19" spans="1:5" ht="15" customHeight="1" x14ac:dyDescent="0.25">
      <c r="A19" s="1"/>
      <c r="B19" s="45" t="s">
        <v>144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43" t="s">
        <v>142</v>
      </c>
      <c r="C20" s="44"/>
      <c r="D20" s="22"/>
      <c r="E20" s="1"/>
    </row>
    <row r="21" spans="1:5" ht="15" customHeight="1" x14ac:dyDescent="0.25">
      <c r="A21" s="1"/>
      <c r="B21" s="51" t="s">
        <v>138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51" t="s">
        <v>139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5" t="s">
        <v>145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3" t="s">
        <v>171</v>
      </c>
      <c r="C24" s="44"/>
      <c r="D24" s="22"/>
      <c r="E24" s="1"/>
    </row>
    <row r="25" spans="1:5" ht="15" customHeight="1" x14ac:dyDescent="0.25">
      <c r="A25" s="1"/>
      <c r="B25" s="38" t="s">
        <v>211</v>
      </c>
      <c r="C25" s="10">
        <f>'Fane 2.3. Økonomisk ramme 2022'!C25</f>
        <v>0</v>
      </c>
      <c r="D25" s="11" t="s">
        <v>3</v>
      </c>
      <c r="E25" s="1"/>
    </row>
    <row r="26" spans="1:5" x14ac:dyDescent="0.25">
      <c r="A26" s="1"/>
      <c r="B26" s="43" t="s">
        <v>156</v>
      </c>
      <c r="C26" s="12">
        <f>SUM(C15,C17,C19,C23,C25)</f>
        <v>121939958.13518365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VChxmX5k0hTz7T1ma9cB2c8ekyUyvcywsXCvJApxlC6owQccgbRb1LDxLUYsgemdWAOTz27ptnpJAgI89V0h3A==" saltValue="MTWauFpc8+4le9Ndig/1K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254</v>
      </c>
      <c r="C3" s="96"/>
      <c r="D3" s="96"/>
      <c r="E3" s="96"/>
      <c r="F3" s="96"/>
      <c r="G3" s="1"/>
    </row>
    <row r="4" spans="1:7" ht="29.2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81</v>
      </c>
      <c r="C8" s="44"/>
      <c r="D8" s="44"/>
      <c r="E8" s="44"/>
      <c r="F8" s="22"/>
      <c r="G8" s="1"/>
    </row>
    <row r="9" spans="1:7" x14ac:dyDescent="0.25">
      <c r="A9" s="1"/>
      <c r="B9" s="97" t="s">
        <v>79</v>
      </c>
      <c r="C9" s="98"/>
      <c r="D9" s="99"/>
      <c r="E9" s="7">
        <v>119781958.80974481</v>
      </c>
      <c r="F9" s="8" t="s">
        <v>3</v>
      </c>
      <c r="G9" s="1"/>
    </row>
    <row r="10" spans="1:7" x14ac:dyDescent="0.25">
      <c r="A10" s="1"/>
      <c r="B10" s="84" t="s">
        <v>64</v>
      </c>
      <c r="C10" s="85"/>
      <c r="D10" s="86"/>
      <c r="E10" s="7">
        <v>0</v>
      </c>
      <c r="F10" s="8" t="s">
        <v>3</v>
      </c>
      <c r="G10" s="1"/>
    </row>
    <row r="11" spans="1:7" x14ac:dyDescent="0.25">
      <c r="A11" s="1"/>
      <c r="B11" s="84" t="s">
        <v>65</v>
      </c>
      <c r="C11" s="85"/>
      <c r="D11" s="86"/>
      <c r="E11" s="9">
        <v>240909.71139999997</v>
      </c>
      <c r="F11" s="8" t="s">
        <v>3</v>
      </c>
      <c r="G11" s="1"/>
    </row>
    <row r="12" spans="1:7" x14ac:dyDescent="0.25">
      <c r="A12" s="1"/>
      <c r="B12" s="84" t="s">
        <v>42</v>
      </c>
      <c r="C12" s="85"/>
      <c r="D12" s="86"/>
      <c r="E12" s="9">
        <v>-194100.10611337505</v>
      </c>
      <c r="F12" s="8" t="s">
        <v>3</v>
      </c>
      <c r="G12" s="1"/>
    </row>
    <row r="13" spans="1:7" x14ac:dyDescent="0.25">
      <c r="A13" s="1"/>
      <c r="B13" s="84" t="s">
        <v>41</v>
      </c>
      <c r="C13" s="85"/>
      <c r="D13" s="86"/>
      <c r="E13" s="9">
        <v>0</v>
      </c>
      <c r="F13" s="8" t="s">
        <v>3</v>
      </c>
      <c r="G13" s="1"/>
    </row>
    <row r="14" spans="1:7" x14ac:dyDescent="0.25">
      <c r="A14" s="1"/>
      <c r="B14" s="84" t="s">
        <v>44</v>
      </c>
      <c r="C14" s="85"/>
      <c r="D14" s="86"/>
      <c r="E14" s="9">
        <v>0</v>
      </c>
      <c r="F14" s="8" t="s">
        <v>3</v>
      </c>
      <c r="G14" s="1"/>
    </row>
    <row r="15" spans="1:7" x14ac:dyDescent="0.25">
      <c r="A15" s="1"/>
      <c r="B15" s="84" t="s">
        <v>43</v>
      </c>
      <c r="C15" s="85"/>
      <c r="D15" s="86"/>
      <c r="E15" s="9">
        <v>0</v>
      </c>
      <c r="F15" s="8" t="s">
        <v>3</v>
      </c>
      <c r="G15" s="1"/>
    </row>
    <row r="16" spans="1:7" x14ac:dyDescent="0.25">
      <c r="A16" s="1"/>
      <c r="B16" s="84" t="s">
        <v>27</v>
      </c>
      <c r="C16" s="85"/>
      <c r="D16" s="86"/>
      <c r="E16" s="9">
        <f>E9*'Fane 15. Nøgletal'!C10+SUM(E10:E15)*'Fane 15. Nøgletal'!C11</f>
        <v>2096975.3614998783</v>
      </c>
      <c r="F16" s="8" t="s">
        <v>3</v>
      </c>
      <c r="G16" s="1"/>
    </row>
    <row r="17" spans="1:7" x14ac:dyDescent="0.25">
      <c r="A17" s="1"/>
      <c r="B17" s="84" t="s">
        <v>10</v>
      </c>
      <c r="C17" s="85"/>
      <c r="D17" s="86"/>
      <c r="E17" s="9">
        <f>-SUM(E9:E16)*'Fane 5. Individuelt eff. krav'!G10</f>
        <v>0</v>
      </c>
      <c r="F17" s="8" t="s">
        <v>3</v>
      </c>
      <c r="G17" s="1"/>
    </row>
    <row r="18" spans="1:7" x14ac:dyDescent="0.25">
      <c r="A18" s="1"/>
      <c r="B18" s="84" t="s">
        <v>39</v>
      </c>
      <c r="C18" s="85"/>
      <c r="D18" s="86"/>
      <c r="E18" s="9">
        <f>-'Fane 4.1. Gen. krav - drift'!G21</f>
        <v>-836982.83872056915</v>
      </c>
      <c r="F18" s="8" t="s">
        <v>3</v>
      </c>
      <c r="G18" s="1"/>
    </row>
    <row r="19" spans="1:7" x14ac:dyDescent="0.25">
      <c r="A19" s="1"/>
      <c r="B19" s="84" t="s">
        <v>40</v>
      </c>
      <c r="C19" s="85"/>
      <c r="D19" s="86"/>
      <c r="E19" s="9">
        <f>-'Fane 4.2. Gen. krav - anlæg'!G19</f>
        <v>-1421805.9080748598</v>
      </c>
      <c r="F19" s="8" t="s">
        <v>3</v>
      </c>
      <c r="G19" s="1"/>
    </row>
    <row r="20" spans="1:7" x14ac:dyDescent="0.25">
      <c r="A20" s="1"/>
      <c r="B20" s="87" t="s">
        <v>29</v>
      </c>
      <c r="C20" s="88"/>
      <c r="D20" s="89"/>
      <c r="E20" s="10">
        <f>SUM(E9:E19)</f>
        <v>119666955.02973588</v>
      </c>
      <c r="F20" s="11" t="s">
        <v>3</v>
      </c>
      <c r="G20" s="1"/>
    </row>
    <row r="21" spans="1:7" x14ac:dyDescent="0.25">
      <c r="A21" s="1"/>
      <c r="B21" s="75" t="s">
        <v>143</v>
      </c>
      <c r="C21" s="76"/>
      <c r="D21" s="76"/>
      <c r="E21" s="76"/>
      <c r="F21" s="77"/>
      <c r="G21" s="1"/>
    </row>
    <row r="22" spans="1:7" x14ac:dyDescent="0.25">
      <c r="A22" s="1"/>
      <c r="B22" s="78" t="s">
        <v>250</v>
      </c>
      <c r="C22" s="79"/>
      <c r="D22" s="80"/>
      <c r="E22" s="35">
        <v>0</v>
      </c>
      <c r="F22" s="8" t="s">
        <v>3</v>
      </c>
      <c r="G22" s="1"/>
    </row>
    <row r="23" spans="1:7" x14ac:dyDescent="0.25">
      <c r="A23" s="1"/>
      <c r="B23" s="78" t="s">
        <v>251</v>
      </c>
      <c r="C23" s="79"/>
      <c r="D23" s="80"/>
      <c r="E23" s="35">
        <f>-E22*('Fane 15. Nøgletal'!C25+'Fane 5. Individuelt eff. krav'!G10)</f>
        <v>0</v>
      </c>
      <c r="F23" s="8" t="s">
        <v>3</v>
      </c>
      <c r="G23" s="1"/>
    </row>
    <row r="24" spans="1:7" x14ac:dyDescent="0.25">
      <c r="A24" s="1"/>
      <c r="B24" s="81" t="s">
        <v>252</v>
      </c>
      <c r="C24" s="82"/>
      <c r="D24" s="83"/>
      <c r="E24" s="10">
        <f>SUM(E22:E23)</f>
        <v>0</v>
      </c>
      <c r="F24" s="11" t="s">
        <v>3</v>
      </c>
      <c r="G24" s="1"/>
    </row>
    <row r="25" spans="1:7" x14ac:dyDescent="0.25">
      <c r="A25" s="1"/>
      <c r="B25" s="100" t="s">
        <v>17</v>
      </c>
      <c r="C25" s="101"/>
      <c r="D25" s="101"/>
      <c r="E25" s="44"/>
      <c r="F25" s="22"/>
      <c r="G25" s="1"/>
    </row>
    <row r="26" spans="1:7" x14ac:dyDescent="0.25">
      <c r="A26" s="1"/>
      <c r="B26" s="93" t="s">
        <v>17</v>
      </c>
      <c r="C26" s="94"/>
      <c r="D26" s="95"/>
      <c r="E26" s="10">
        <v>4593517.8926946586</v>
      </c>
      <c r="F26" s="11" t="s">
        <v>3</v>
      </c>
      <c r="G26" s="1"/>
    </row>
    <row r="27" spans="1:7" x14ac:dyDescent="0.25">
      <c r="A27" s="1"/>
      <c r="B27" s="43" t="s">
        <v>80</v>
      </c>
      <c r="C27" s="44"/>
      <c r="D27" s="44"/>
      <c r="E27" s="44"/>
      <c r="F27" s="22"/>
      <c r="G27" s="1"/>
    </row>
    <row r="28" spans="1:7" ht="27" customHeight="1" x14ac:dyDescent="0.25">
      <c r="A28" s="1"/>
      <c r="B28" s="90" t="s">
        <v>132</v>
      </c>
      <c r="C28" s="91"/>
      <c r="D28" s="92"/>
      <c r="E28" s="10">
        <v>17203.141280324544</v>
      </c>
      <c r="F28" s="11" t="s">
        <v>3</v>
      </c>
      <c r="G28" s="1"/>
    </row>
    <row r="29" spans="1:7" x14ac:dyDescent="0.25">
      <c r="A29" s="1"/>
      <c r="B29" s="43" t="s">
        <v>11</v>
      </c>
      <c r="C29" s="44"/>
      <c r="D29" s="44"/>
      <c r="E29" s="44"/>
      <c r="F29" s="22"/>
      <c r="G29" s="1"/>
    </row>
    <row r="30" spans="1:7" x14ac:dyDescent="0.25">
      <c r="A30" s="1"/>
      <c r="B30" s="93" t="s">
        <v>19</v>
      </c>
      <c r="C30" s="94"/>
      <c r="D30" s="95"/>
      <c r="E30" s="10">
        <v>-2380591</v>
      </c>
      <c r="F30" s="11" t="s">
        <v>3</v>
      </c>
      <c r="G30" s="1"/>
    </row>
    <row r="31" spans="1:7" x14ac:dyDescent="0.25">
      <c r="A31" s="1"/>
      <c r="B31" s="43" t="s">
        <v>24</v>
      </c>
      <c r="C31" s="44"/>
      <c r="D31" s="44"/>
      <c r="E31" s="12">
        <f>SUM(E30,E28,E26,E20,E24)</f>
        <v>121897085.06371087</v>
      </c>
      <c r="F31" s="13" t="s">
        <v>3</v>
      </c>
      <c r="G31" s="1"/>
    </row>
    <row r="32" spans="1:7" ht="27" customHeight="1" x14ac:dyDescent="0.25">
      <c r="A32" s="1"/>
      <c r="B32" s="78" t="s">
        <v>209</v>
      </c>
      <c r="C32" s="79"/>
      <c r="D32" s="79"/>
      <c r="E32" s="79"/>
      <c r="F32" s="80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dzFAitqApkWMrOPL+0PxdaPcCoka9Elz6z54cqTwiDVLGTJQxGars/0/JPjmaKasK7Tz6nQgrYpuw3csefNvLw==" saltValue="An/hR6ygaWAsKdsOBs+mtQ==" spinCount="100000" sheet="1" objects="1" scenarios="1"/>
  <mergeCells count="22">
    <mergeCell ref="B32:F32"/>
    <mergeCell ref="B28:D28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25:D25"/>
    <mergeCell ref="B26:D26"/>
    <mergeCell ref="B16:D16"/>
    <mergeCell ref="B17:D17"/>
    <mergeCell ref="B18:D18"/>
    <mergeCell ref="B21:F21"/>
    <mergeCell ref="B22:D22"/>
    <mergeCell ref="B23:D23"/>
    <mergeCell ref="B24:D24"/>
    <mergeCell ref="B19:D19"/>
    <mergeCell ref="B20:D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3" t="s">
        <v>235</v>
      </c>
      <c r="C1" s="73"/>
      <c r="D1" s="73"/>
      <c r="E1" s="73"/>
      <c r="F1" s="73"/>
      <c r="G1" s="73"/>
      <c r="H1" s="73"/>
      <c r="I1" s="1"/>
    </row>
    <row r="2" spans="1:9" ht="15" customHeight="1" x14ac:dyDescent="0.2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25">
      <c r="A4" s="1"/>
      <c r="B4" s="75" t="s">
        <v>94</v>
      </c>
      <c r="C4" s="76"/>
      <c r="D4" s="76"/>
      <c r="E4" s="76"/>
      <c r="F4" s="76"/>
      <c r="G4" s="76"/>
      <c r="H4" s="77"/>
      <c r="I4" s="1"/>
    </row>
    <row r="5" spans="1:9" x14ac:dyDescent="0.25">
      <c r="A5" s="1"/>
      <c r="B5" s="102" t="s">
        <v>83</v>
      </c>
      <c r="C5" s="103"/>
      <c r="D5" s="103"/>
      <c r="E5" s="103"/>
      <c r="F5" s="104"/>
      <c r="G5" s="26">
        <v>42129081.489402078</v>
      </c>
      <c r="H5" s="14" t="s">
        <v>3</v>
      </c>
      <c r="I5" s="1"/>
    </row>
    <row r="6" spans="1:9" x14ac:dyDescent="0.25">
      <c r="A6" s="1"/>
      <c r="B6" s="78" t="s">
        <v>253</v>
      </c>
      <c r="C6" s="79"/>
      <c r="D6" s="79"/>
      <c r="E6" s="79"/>
      <c r="F6" s="80"/>
      <c r="G6" s="26">
        <v>0</v>
      </c>
      <c r="H6" s="14" t="s">
        <v>3</v>
      </c>
      <c r="I6" s="1"/>
    </row>
    <row r="7" spans="1:9" x14ac:dyDescent="0.25">
      <c r="A7" s="1"/>
      <c r="B7" s="102" t="s">
        <v>84</v>
      </c>
      <c r="C7" s="103"/>
      <c r="D7" s="103"/>
      <c r="E7" s="103"/>
      <c r="F7" s="104"/>
      <c r="G7" s="26">
        <f>SUM(G5:G6)*'Fane 15. Nøgletal'!C25</f>
        <v>842581.62978804158</v>
      </c>
      <c r="H7" s="14" t="s">
        <v>3</v>
      </c>
      <c r="I7" s="1"/>
    </row>
    <row r="8" spans="1:9" x14ac:dyDescent="0.25">
      <c r="A8" s="1"/>
      <c r="B8" s="43"/>
      <c r="C8" s="44"/>
      <c r="D8" s="44"/>
      <c r="E8" s="44"/>
      <c r="F8" s="44"/>
      <c r="G8" s="44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75" t="s">
        <v>95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102" t="s">
        <v>85</v>
      </c>
      <c r="C11" s="103"/>
      <c r="D11" s="103"/>
      <c r="E11" s="103"/>
      <c r="F11" s="104"/>
      <c r="G11" s="26">
        <f>(G5-G7)*(1+'Fane 15. Nøgletal'!C10)</f>
        <v>42009013.607157283</v>
      </c>
      <c r="H11" s="14" t="s">
        <v>3</v>
      </c>
      <c r="I11" s="1"/>
    </row>
    <row r="12" spans="1:9" x14ac:dyDescent="0.25">
      <c r="A12" s="1"/>
      <c r="B12" s="102" t="s">
        <v>256</v>
      </c>
      <c r="C12" s="103"/>
      <c r="D12" s="103"/>
      <c r="E12" s="103"/>
      <c r="F12" s="104"/>
      <c r="G12" s="26">
        <v>-40377.518339376096</v>
      </c>
      <c r="H12" s="14" t="s">
        <v>3</v>
      </c>
      <c r="I12" s="1"/>
    </row>
    <row r="13" spans="1:9" x14ac:dyDescent="0.25">
      <c r="A13" s="1"/>
      <c r="B13" s="78" t="s">
        <v>250</v>
      </c>
      <c r="C13" s="79"/>
      <c r="D13" s="79"/>
      <c r="E13" s="79"/>
      <c r="F13" s="80"/>
      <c r="G13" s="26">
        <v>0</v>
      </c>
      <c r="H13" s="14" t="s">
        <v>3</v>
      </c>
      <c r="I13" s="1"/>
    </row>
    <row r="14" spans="1:9" x14ac:dyDescent="0.25">
      <c r="A14" s="1"/>
      <c r="B14" s="108" t="s">
        <v>86</v>
      </c>
      <c r="C14" s="106"/>
      <c r="D14" s="106"/>
      <c r="E14" s="106"/>
      <c r="F14" s="107"/>
      <c r="G14" s="26">
        <v>198061.33276875003</v>
      </c>
      <c r="H14" s="14" t="s">
        <v>3</v>
      </c>
      <c r="I14" s="1"/>
    </row>
    <row r="15" spans="1:9" x14ac:dyDescent="0.25">
      <c r="A15" s="1"/>
      <c r="B15" s="102" t="s">
        <v>87</v>
      </c>
      <c r="C15" s="103"/>
      <c r="D15" s="103"/>
      <c r="E15" s="103"/>
      <c r="F15" s="104"/>
      <c r="G15" s="26">
        <f>SUM(G11:G14)*'Fane 15. Nøgletal'!C25</f>
        <v>843333.9484317333</v>
      </c>
      <c r="H15" s="14" t="s">
        <v>3</v>
      </c>
      <c r="I15" s="1"/>
    </row>
    <row r="16" spans="1:9" x14ac:dyDescent="0.25">
      <c r="A16" s="1"/>
      <c r="B16" s="43"/>
      <c r="C16" s="44"/>
      <c r="D16" s="44"/>
      <c r="E16" s="44"/>
      <c r="F16" s="44"/>
      <c r="G16" s="44"/>
      <c r="H16" s="22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75" t="s">
        <v>96</v>
      </c>
      <c r="C18" s="76"/>
      <c r="D18" s="76"/>
      <c r="E18" s="76"/>
      <c r="F18" s="76"/>
      <c r="G18" s="76"/>
      <c r="H18" s="77"/>
      <c r="I18" s="1"/>
    </row>
    <row r="19" spans="1:9" x14ac:dyDescent="0.25">
      <c r="A19" s="1"/>
      <c r="B19" s="102" t="s">
        <v>88</v>
      </c>
      <c r="C19" s="103"/>
      <c r="D19" s="103"/>
      <c r="E19" s="103"/>
      <c r="F19" s="104"/>
      <c r="G19" s="26">
        <f>(G11+G12+G14-G15)*(1+'Fane 15. Nøgletal'!C10)</f>
        <v>42046522.333935149</v>
      </c>
      <c r="H19" s="14" t="s">
        <v>3</v>
      </c>
      <c r="I19" s="1"/>
    </row>
    <row r="20" spans="1:9" x14ac:dyDescent="0.25">
      <c r="A20" s="1"/>
      <c r="B20" s="108" t="s">
        <v>89</v>
      </c>
      <c r="C20" s="106"/>
      <c r="D20" s="106"/>
      <c r="E20" s="106"/>
      <c r="F20" s="107"/>
      <c r="G20" s="26">
        <v>-197380.39790669107</v>
      </c>
      <c r="H20" s="14" t="s">
        <v>3</v>
      </c>
      <c r="I20" s="1"/>
    </row>
    <row r="21" spans="1:9" x14ac:dyDescent="0.25">
      <c r="A21" s="1"/>
      <c r="B21" s="102" t="s">
        <v>90</v>
      </c>
      <c r="C21" s="103"/>
      <c r="D21" s="103"/>
      <c r="E21" s="103"/>
      <c r="F21" s="104"/>
      <c r="G21" s="26">
        <f>(G19+G20)*'Fane 15. Nøgletal'!C25</f>
        <v>836982.83872056915</v>
      </c>
      <c r="H21" s="14" t="s">
        <v>3</v>
      </c>
      <c r="I21" s="1"/>
    </row>
    <row r="22" spans="1:9" x14ac:dyDescent="0.25">
      <c r="A22" s="1"/>
      <c r="B22" s="43"/>
      <c r="C22" s="44"/>
      <c r="D22" s="44"/>
      <c r="E22" s="44"/>
      <c r="F22" s="44"/>
      <c r="G22" s="44"/>
      <c r="H22" s="22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75" t="s">
        <v>97</v>
      </c>
      <c r="C24" s="76"/>
      <c r="D24" s="76"/>
      <c r="E24" s="76"/>
      <c r="F24" s="76"/>
      <c r="G24" s="76"/>
      <c r="H24" s="77"/>
      <c r="I24" s="1"/>
    </row>
    <row r="25" spans="1:9" x14ac:dyDescent="0.25">
      <c r="A25" s="1"/>
      <c r="B25" s="102" t="s">
        <v>91</v>
      </c>
      <c r="C25" s="103"/>
      <c r="D25" s="103"/>
      <c r="E25" s="103"/>
      <c r="F25" s="104"/>
      <c r="G25" s="26">
        <f>G19*(1-'Fane 15. Nøgletal'!C25)*(1+'Fane 15. Nøgletal'!C10)+G20*(1-'Fane 15. Nøgletal'!C25)*(1+'Fane 15. Nøgletal'!C11)</f>
        <v>41729987.941184744</v>
      </c>
      <c r="H25" s="14" t="s">
        <v>3</v>
      </c>
      <c r="I25" s="1"/>
    </row>
    <row r="26" spans="1:9" x14ac:dyDescent="0.25">
      <c r="A26" s="1"/>
      <c r="B26" s="105" t="s">
        <v>248</v>
      </c>
      <c r="C26" s="106"/>
      <c r="D26" s="106"/>
      <c r="E26" s="106"/>
      <c r="F26" s="107"/>
      <c r="G26" s="26">
        <f>G20*(1-'Fane 15. Nøgletal'!C25)*(1+'Fane 15. Nøgletal'!C11)</f>
        <v>-196701.80409868783</v>
      </c>
      <c r="H26" s="14" t="s">
        <v>3</v>
      </c>
      <c r="I26" s="1"/>
    </row>
    <row r="27" spans="1:9" x14ac:dyDescent="0.25">
      <c r="A27" s="1"/>
      <c r="B27" s="108" t="s">
        <v>92</v>
      </c>
      <c r="C27" s="106"/>
      <c r="D27" s="106"/>
      <c r="E27" s="106"/>
      <c r="F27" s="107"/>
      <c r="G27" s="26">
        <f>('Fane 2.1. Økonomisk ramme 2020'!C12+'Fane 2.1. Økonomisk ramme 2020'!C14+'Fane 2.1. Økonomisk ramme 2020'!C16)*(1+'Fane 15. Nøgletal'!C12)</f>
        <v>0</v>
      </c>
      <c r="H27" s="14" t="s">
        <v>3</v>
      </c>
      <c r="I27" s="1"/>
    </row>
    <row r="28" spans="1:9" x14ac:dyDescent="0.25">
      <c r="A28" s="1"/>
      <c r="B28" s="102" t="s">
        <v>93</v>
      </c>
      <c r="C28" s="103"/>
      <c r="D28" s="103"/>
      <c r="E28" s="103"/>
      <c r="F28" s="104"/>
      <c r="G28" s="26">
        <f>SUM(G25,G27)*'Fane 15. Nøgletal'!C25</f>
        <v>834599.75882369489</v>
      </c>
      <c r="H28" s="14" t="s">
        <v>3</v>
      </c>
      <c r="I28" s="1"/>
    </row>
    <row r="29" spans="1:9" x14ac:dyDescent="0.25">
      <c r="A29" s="1"/>
      <c r="B29" s="43"/>
      <c r="C29" s="44"/>
      <c r="D29" s="44"/>
      <c r="E29" s="44"/>
      <c r="F29" s="44"/>
      <c r="G29" s="4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75" t="s">
        <v>100</v>
      </c>
      <c r="C31" s="76"/>
      <c r="D31" s="76"/>
      <c r="E31" s="76"/>
      <c r="F31" s="76"/>
      <c r="G31" s="76"/>
      <c r="H31" s="77"/>
      <c r="I31" s="1"/>
    </row>
    <row r="32" spans="1:9" x14ac:dyDescent="0.25">
      <c r="A32" s="1"/>
      <c r="B32" s="102" t="s">
        <v>101</v>
      </c>
      <c r="C32" s="103"/>
      <c r="D32" s="103"/>
      <c r="E32" s="103"/>
      <c r="F32" s="104"/>
      <c r="G32" s="26">
        <f>(G25-G26)*(1-'Fane 15. Nøgletal'!C25)*(1+'Fane 15. Nøgletal'!C10)+G26*(1-'Fane 15. Nøgletal'!C25)*(1+'Fane 15. Nøgletal'!C11)+G27*(1-'Fane 15. Nøgletal'!C25)*(1+'Fane 15. Nøgletal'!C12)</f>
        <v>41611173.136213183</v>
      </c>
      <c r="H32" s="14" t="s">
        <v>3</v>
      </c>
      <c r="I32" s="1"/>
    </row>
    <row r="33" spans="1:9" x14ac:dyDescent="0.25">
      <c r="A33" s="1"/>
      <c r="B33" s="105" t="s">
        <v>248</v>
      </c>
      <c r="C33" s="106"/>
      <c r="D33" s="106"/>
      <c r="E33" s="106"/>
      <c r="F33" s="107"/>
      <c r="G33" s="26">
        <f>G26*(1-'Fane 15. Nøgletal'!C25)*(1+'Fane 15. Nøgletal'!C11)</f>
        <v>-196025.54329619653</v>
      </c>
      <c r="H33" s="14" t="s">
        <v>3</v>
      </c>
      <c r="I33" s="1"/>
    </row>
    <row r="34" spans="1:9" x14ac:dyDescent="0.25">
      <c r="A34" s="1"/>
      <c r="B34" s="105" t="s">
        <v>249</v>
      </c>
      <c r="C34" s="106"/>
      <c r="D34" s="106"/>
      <c r="E34" s="106"/>
      <c r="F34" s="107"/>
      <c r="G34" s="26">
        <f>G27*(1-'Fane 15. Nøgletal'!C25)*(1+'Fane 15. Nøgletal'!C12)</f>
        <v>0</v>
      </c>
      <c r="H34" s="14" t="s">
        <v>3</v>
      </c>
      <c r="I34" s="1"/>
    </row>
    <row r="35" spans="1:9" x14ac:dyDescent="0.25">
      <c r="A35" s="1"/>
      <c r="B35" s="102" t="s">
        <v>147</v>
      </c>
      <c r="C35" s="103"/>
      <c r="D35" s="103"/>
      <c r="E35" s="103"/>
      <c r="F35" s="104"/>
      <c r="G35" s="26">
        <f>-'Fane 13. Bortfald'!C18*(1+'Fane 15. Nøgletal'!C12)</f>
        <v>0</v>
      </c>
      <c r="H35" s="14" t="s">
        <v>3</v>
      </c>
      <c r="I35" s="1"/>
    </row>
    <row r="36" spans="1:9" x14ac:dyDescent="0.25">
      <c r="A36" s="1"/>
      <c r="B36" s="102" t="s">
        <v>102</v>
      </c>
      <c r="C36" s="103"/>
      <c r="D36" s="103"/>
      <c r="E36" s="103"/>
      <c r="F36" s="104"/>
      <c r="G36" s="26">
        <f>SUM(G32,G35)*'Fane 15. Nøgletal'!C25</f>
        <v>832223.46272426366</v>
      </c>
      <c r="H36" s="14" t="s">
        <v>3</v>
      </c>
      <c r="I36" s="1"/>
    </row>
    <row r="37" spans="1:9" x14ac:dyDescent="0.25">
      <c r="A37" s="1"/>
      <c r="B37" s="43"/>
      <c r="C37" s="44"/>
      <c r="D37" s="44"/>
      <c r="E37" s="44"/>
      <c r="F37" s="44"/>
      <c r="G37" s="44"/>
      <c r="H37" s="22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75" t="s">
        <v>127</v>
      </c>
      <c r="C39" s="76"/>
      <c r="D39" s="76"/>
      <c r="E39" s="76"/>
      <c r="F39" s="76"/>
      <c r="G39" s="76"/>
      <c r="H39" s="77"/>
      <c r="I39" s="1"/>
    </row>
    <row r="40" spans="1:9" x14ac:dyDescent="0.25">
      <c r="A40" s="1"/>
      <c r="B40" s="102" t="s">
        <v>126</v>
      </c>
      <c r="C40" s="103"/>
      <c r="D40" s="103"/>
      <c r="E40" s="103"/>
      <c r="F40" s="104"/>
      <c r="G40" s="26">
        <f>(SUM(G32,G35)-G36)*(1+'Fane 15. Nøgletal'!C12)</f>
        <v>41582294.982056655</v>
      </c>
      <c r="H40" s="14" t="s">
        <v>3</v>
      </c>
      <c r="I40" s="1"/>
    </row>
    <row r="41" spans="1:9" x14ac:dyDescent="0.25">
      <c r="A41" s="1"/>
      <c r="B41" s="102" t="s">
        <v>148</v>
      </c>
      <c r="C41" s="103"/>
      <c r="D41" s="103"/>
      <c r="E41" s="103"/>
      <c r="F41" s="104"/>
      <c r="G41" s="26">
        <f>-'Fane 13. Bortfald'!C24*(1+'Fane 15. Nøgletal'!C12)</f>
        <v>0</v>
      </c>
      <c r="H41" s="14" t="s">
        <v>3</v>
      </c>
      <c r="I41" s="1"/>
    </row>
    <row r="42" spans="1:9" x14ac:dyDescent="0.25">
      <c r="A42" s="1"/>
      <c r="B42" s="102" t="s">
        <v>103</v>
      </c>
      <c r="C42" s="103"/>
      <c r="D42" s="103"/>
      <c r="E42" s="103"/>
      <c r="F42" s="104"/>
      <c r="G42" s="26">
        <f>(G40+G41)*'Fane 15. Nøgletal'!C25</f>
        <v>831645.89964113315</v>
      </c>
      <c r="H42" s="14" t="s">
        <v>3</v>
      </c>
      <c r="I42" s="1"/>
    </row>
    <row r="43" spans="1:9" x14ac:dyDescent="0.25">
      <c r="A43" s="1"/>
      <c r="B43" s="43"/>
      <c r="C43" s="44"/>
      <c r="D43" s="44"/>
      <c r="E43" s="44"/>
      <c r="F43" s="44"/>
      <c r="G43" s="44"/>
      <c r="H43" s="22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75" t="s">
        <v>128</v>
      </c>
      <c r="C45" s="76"/>
      <c r="D45" s="76"/>
      <c r="E45" s="76"/>
      <c r="F45" s="76"/>
      <c r="G45" s="76"/>
      <c r="H45" s="77"/>
      <c r="I45" s="1"/>
    </row>
    <row r="46" spans="1:9" x14ac:dyDescent="0.25">
      <c r="A46" s="1"/>
      <c r="B46" s="102" t="s">
        <v>125</v>
      </c>
      <c r="C46" s="103"/>
      <c r="D46" s="103"/>
      <c r="E46" s="103"/>
      <c r="F46" s="104"/>
      <c r="G46" s="26">
        <f>(G40-G42)*(1+'Fane 15. Nøgletal'!C12)</f>
        <v>41553436.869339108</v>
      </c>
      <c r="H46" s="14" t="s">
        <v>3</v>
      </c>
      <c r="I46" s="1"/>
    </row>
    <row r="47" spans="1:9" x14ac:dyDescent="0.25">
      <c r="A47" s="1"/>
      <c r="B47" s="102" t="s">
        <v>149</v>
      </c>
      <c r="C47" s="103"/>
      <c r="D47" s="103"/>
      <c r="E47" s="103"/>
      <c r="F47" s="104"/>
      <c r="G47" s="26">
        <f>-'Fane 13. Bortfald'!C30*(1+'Fane 15. Nøgletal'!C12)</f>
        <v>0</v>
      </c>
      <c r="H47" s="14" t="s">
        <v>3</v>
      </c>
      <c r="I47" s="1"/>
    </row>
    <row r="48" spans="1:9" x14ac:dyDescent="0.25">
      <c r="A48" s="1"/>
      <c r="B48" s="102" t="s">
        <v>104</v>
      </c>
      <c r="C48" s="103"/>
      <c r="D48" s="103"/>
      <c r="E48" s="103"/>
      <c r="F48" s="104"/>
      <c r="G48" s="26">
        <f>(G46+G47)*'Fane 15. Nøgletal'!C25</f>
        <v>831068.73738678219</v>
      </c>
      <c r="H48" s="14" t="s">
        <v>3</v>
      </c>
      <c r="I48" s="1"/>
    </row>
    <row r="49" spans="1:9" x14ac:dyDescent="0.25">
      <c r="A49" s="1"/>
      <c r="B49" s="43"/>
      <c r="C49" s="44"/>
      <c r="D49" s="44"/>
      <c r="E49" s="44"/>
      <c r="F49" s="44"/>
      <c r="G49" s="44"/>
      <c r="H49" s="22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q9kXNiYLByh1Npuwt84SPKLXDicjqK7k2j8TBR7VoomZ8Tzzm6DlNkJq/2hsXG1dto7x86mVsL4ADSDOLl+NA==" saltValue="eLd+cgcLnEMprfokcYLW+Q==" spinCount="100000" sheet="1" objects="1" scenarios="1"/>
  <mergeCells count="34">
    <mergeCell ref="B12:F12"/>
    <mergeCell ref="B1:H3"/>
    <mergeCell ref="B4:H4"/>
    <mergeCell ref="B5:F5"/>
    <mergeCell ref="B7:F7"/>
    <mergeCell ref="B11:F11"/>
    <mergeCell ref="B10:H10"/>
    <mergeCell ref="B6:F6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3:F13"/>
    <mergeCell ref="B35:F35"/>
    <mergeCell ref="B26:F26"/>
    <mergeCell ref="B33:F33"/>
    <mergeCell ref="B34:F34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9" t="s">
        <v>234</v>
      </c>
      <c r="C2" s="109"/>
      <c r="D2" s="109"/>
      <c r="E2" s="109"/>
      <c r="F2" s="109"/>
      <c r="G2" s="109"/>
      <c r="H2" s="109"/>
      <c r="I2" s="1"/>
    </row>
    <row r="3" spans="1:9" ht="18.75" x14ac:dyDescent="0.3">
      <c r="A3" s="1"/>
      <c r="B3" s="48"/>
      <c r="C3" s="48"/>
      <c r="D3" s="48"/>
      <c r="E3" s="48"/>
      <c r="F3" s="48"/>
      <c r="G3" s="48"/>
      <c r="H3" s="48"/>
      <c r="I3" s="1"/>
    </row>
    <row r="4" spans="1:9" x14ac:dyDescent="0.25">
      <c r="A4" s="1"/>
      <c r="B4" s="75" t="s">
        <v>98</v>
      </c>
      <c r="C4" s="76"/>
      <c r="D4" s="76"/>
      <c r="E4" s="76"/>
      <c r="F4" s="76"/>
      <c r="G4" s="76"/>
      <c r="H4" s="77"/>
      <c r="I4" s="1"/>
    </row>
    <row r="5" spans="1:9" x14ac:dyDescent="0.25">
      <c r="A5" s="1"/>
      <c r="B5" s="102" t="s">
        <v>105</v>
      </c>
      <c r="C5" s="103"/>
      <c r="D5" s="103"/>
      <c r="E5" s="103"/>
      <c r="F5" s="104"/>
      <c r="G5" s="26">
        <v>79341482.939911634</v>
      </c>
      <c r="H5" s="14" t="s">
        <v>3</v>
      </c>
      <c r="I5" s="1"/>
    </row>
    <row r="6" spans="1:9" x14ac:dyDescent="0.25">
      <c r="A6" s="1"/>
      <c r="B6" s="102" t="s">
        <v>99</v>
      </c>
      <c r="C6" s="103"/>
      <c r="D6" s="103"/>
      <c r="E6" s="103"/>
      <c r="F6" s="104"/>
      <c r="G6" s="26">
        <f>G5*'Fane 15. Nøgletal'!C17</f>
        <v>722007.4947531959</v>
      </c>
      <c r="H6" s="14" t="s">
        <v>3</v>
      </c>
      <c r="I6" s="1"/>
    </row>
    <row r="7" spans="1:9" x14ac:dyDescent="0.25">
      <c r="A7" s="1"/>
      <c r="B7" s="43"/>
      <c r="C7" s="44"/>
      <c r="D7" s="44"/>
      <c r="E7" s="44"/>
      <c r="F7" s="44"/>
      <c r="G7" s="4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75" t="s">
        <v>106</v>
      </c>
      <c r="C9" s="76"/>
      <c r="D9" s="76"/>
      <c r="E9" s="76"/>
      <c r="F9" s="76"/>
      <c r="G9" s="76"/>
      <c r="H9" s="77"/>
      <c r="I9" s="1"/>
    </row>
    <row r="10" spans="1:9" x14ac:dyDescent="0.25">
      <c r="A10" s="1"/>
      <c r="B10" s="102" t="s">
        <v>107</v>
      </c>
      <c r="C10" s="103"/>
      <c r="D10" s="103"/>
      <c r="E10" s="103"/>
      <c r="F10" s="104"/>
      <c r="G10" s="26">
        <f>(G5-G6)*(1+'Fane 15. Nøgletal'!C10)</f>
        <v>79995316.265448719</v>
      </c>
      <c r="H10" s="14" t="s">
        <v>3</v>
      </c>
      <c r="I10" s="1"/>
    </row>
    <row r="11" spans="1:9" x14ac:dyDescent="0.25">
      <c r="A11" s="1"/>
      <c r="B11" s="102" t="s">
        <v>257</v>
      </c>
      <c r="C11" s="103"/>
      <c r="D11" s="103"/>
      <c r="E11" s="103"/>
      <c r="F11" s="104"/>
      <c r="G11" s="26">
        <v>233427.31891325233</v>
      </c>
      <c r="H11" s="14" t="s">
        <v>3</v>
      </c>
      <c r="I11" s="1"/>
    </row>
    <row r="12" spans="1:9" x14ac:dyDescent="0.25">
      <c r="A12" s="1"/>
      <c r="B12" s="108" t="s">
        <v>108</v>
      </c>
      <c r="C12" s="106"/>
      <c r="D12" s="106"/>
      <c r="E12" s="106"/>
      <c r="F12" s="107"/>
      <c r="G12" s="26">
        <v>19766.066925000003</v>
      </c>
      <c r="H12" s="14" t="s">
        <v>3</v>
      </c>
      <c r="I12" s="1"/>
    </row>
    <row r="13" spans="1:9" x14ac:dyDescent="0.25">
      <c r="A13" s="1"/>
      <c r="B13" s="102" t="s">
        <v>109</v>
      </c>
      <c r="C13" s="103"/>
      <c r="D13" s="103"/>
      <c r="E13" s="103"/>
      <c r="F13" s="104"/>
      <c r="G13" s="26">
        <f>SUM(G10:G12)*'Fane 15. Nøgletal'!C18</f>
        <v>1420398.6208277794</v>
      </c>
      <c r="H13" s="14" t="s">
        <v>3</v>
      </c>
      <c r="I13" s="1"/>
    </row>
    <row r="14" spans="1:9" x14ac:dyDescent="0.25">
      <c r="A14" s="1"/>
      <c r="B14" s="43"/>
      <c r="C14" s="44"/>
      <c r="D14" s="44"/>
      <c r="E14" s="44"/>
      <c r="F14" s="44"/>
      <c r="G14" s="4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75" t="s">
        <v>110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102" t="s">
        <v>111</v>
      </c>
      <c r="C17" s="103"/>
      <c r="D17" s="103"/>
      <c r="E17" s="103"/>
      <c r="F17" s="104"/>
      <c r="G17" s="26">
        <f>(G10+G11+G12-G13)*(1+'Fane 15. Nøgletal'!C10)</f>
        <v>80207602.973492235</v>
      </c>
      <c r="H17" s="14" t="s">
        <v>3</v>
      </c>
      <c r="I17" s="1"/>
    </row>
    <row r="18" spans="1:9" x14ac:dyDescent="0.25">
      <c r="A18" s="1"/>
      <c r="B18" s="108" t="s">
        <v>112</v>
      </c>
      <c r="C18" s="106"/>
      <c r="D18" s="106"/>
      <c r="E18" s="106"/>
      <c r="F18" s="107"/>
      <c r="G18" s="26">
        <v>244981.08552265994</v>
      </c>
      <c r="H18" s="14" t="s">
        <v>3</v>
      </c>
      <c r="I18" s="1"/>
    </row>
    <row r="19" spans="1:9" x14ac:dyDescent="0.25">
      <c r="A19" s="1"/>
      <c r="B19" s="102" t="s">
        <v>113</v>
      </c>
      <c r="C19" s="103"/>
      <c r="D19" s="103"/>
      <c r="E19" s="103"/>
      <c r="F19" s="104"/>
      <c r="G19" s="26">
        <f>G17*'Fane 15. Nøgletal'!C18+G18*'Fane 15. Nøgletal'!C19</f>
        <v>1421805.9080748598</v>
      </c>
      <c r="H19" s="14" t="s">
        <v>3</v>
      </c>
      <c r="I19" s="1"/>
    </row>
    <row r="20" spans="1:9" x14ac:dyDescent="0.25">
      <c r="A20" s="1"/>
      <c r="B20" s="43"/>
      <c r="C20" s="44"/>
      <c r="D20" s="44"/>
      <c r="E20" s="44"/>
      <c r="F20" s="44"/>
      <c r="G20" s="4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75" t="s">
        <v>114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102" t="s">
        <v>115</v>
      </c>
      <c r="C23" s="103"/>
      <c r="D23" s="103"/>
      <c r="E23" s="103"/>
      <c r="F23" s="104"/>
      <c r="G23" s="26">
        <f>G17*(1-'Fane 15. Nøgletal'!C18)*(1+'Fane 15. Nøgletal'!C10)+G18*(1-'Fane 15. Nøgletal'!C19)*(1+'Fane 15. Nøgletal'!C11)</f>
        <v>80413671.058731422</v>
      </c>
      <c r="H23" s="14" t="s">
        <v>3</v>
      </c>
      <c r="I23" s="1"/>
    </row>
    <row r="24" spans="1:9" x14ac:dyDescent="0.25">
      <c r="A24" s="1"/>
      <c r="B24" s="105" t="s">
        <v>245</v>
      </c>
      <c r="C24" s="106"/>
      <c r="D24" s="106"/>
      <c r="E24" s="106"/>
      <c r="F24" s="107"/>
      <c r="G24" s="26">
        <f>G18*(1-'Fane 15. Nøgletal'!C19)*(1+'Fane 15. Nøgletal'!C11)</f>
        <v>246953.91085494132</v>
      </c>
      <c r="H24" s="14" t="s">
        <v>3</v>
      </c>
      <c r="I24" s="1"/>
    </row>
    <row r="25" spans="1:9" x14ac:dyDescent="0.25">
      <c r="A25" s="1"/>
      <c r="B25" s="108" t="s">
        <v>116</v>
      </c>
      <c r="C25" s="106"/>
      <c r="D25" s="106"/>
      <c r="E25" s="106"/>
      <c r="F25" s="107"/>
      <c r="G25" s="26">
        <f>('Fane 2.1. Økonomisk ramme 2020'!C13+'Fane 2.1. Økonomisk ramme 2020'!C15+'Fane 2.1. Økonomisk ramme 2020'!C17)*(1+'Fane 15. Nøgletal'!C12)</f>
        <v>713288.41749139677</v>
      </c>
      <c r="H25" s="14" t="s">
        <v>3</v>
      </c>
      <c r="I25" s="1"/>
    </row>
    <row r="26" spans="1:9" x14ac:dyDescent="0.25">
      <c r="A26" s="1"/>
      <c r="B26" s="102" t="s">
        <v>117</v>
      </c>
      <c r="C26" s="103"/>
      <c r="D26" s="103"/>
      <c r="E26" s="103"/>
      <c r="F26" s="104"/>
      <c r="G26" s="26">
        <f>(G23-G24)*'Fane 15. Nøgletal'!C18+G24*'Fane 15. Nøgletal'!C19+G25*'Fane 15. Nøgletal'!C20</f>
        <v>1441356.7835986074</v>
      </c>
      <c r="H26" s="14" t="s">
        <v>3</v>
      </c>
      <c r="I26" s="1"/>
    </row>
    <row r="27" spans="1:9" x14ac:dyDescent="0.25">
      <c r="A27" s="1"/>
      <c r="B27" s="43"/>
      <c r="C27" s="44"/>
      <c r="D27" s="44"/>
      <c r="E27" s="44"/>
      <c r="F27" s="44"/>
      <c r="G27" s="44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75" t="s">
        <v>118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102" t="s">
        <v>119</v>
      </c>
      <c r="C30" s="103"/>
      <c r="D30" s="103"/>
      <c r="E30" s="103"/>
      <c r="F30" s="104"/>
      <c r="G30" s="26">
        <f>(G23-G24)*(1-'Fane 15. Nøgletal'!C18)*(1+'Fane 15. Nøgletal'!C10)+G24*(1-'Fane 15. Nøgletal'!C19)*(1+'Fane 15. Nøgletal'!C11)+G25*(1-'Fane 15. Nøgletal'!C20)*(1+'Fane 15. Nøgletal'!C12)</f>
        <v>81081478.524756193</v>
      </c>
      <c r="H30" s="14" t="s">
        <v>3</v>
      </c>
      <c r="I30" s="1"/>
    </row>
    <row r="31" spans="1:9" x14ac:dyDescent="0.25">
      <c r="A31" s="1"/>
      <c r="B31" s="105" t="s">
        <v>246</v>
      </c>
      <c r="C31" s="106"/>
      <c r="D31" s="106"/>
      <c r="E31" s="106"/>
      <c r="F31" s="107"/>
      <c r="G31" s="26">
        <f>G24*(1-'Fane 15. Nøgletal'!C19)*(1+'Fane 15. Nøgletal'!C11)</f>
        <v>248942.62329043882</v>
      </c>
      <c r="H31" s="14" t="s">
        <v>3</v>
      </c>
      <c r="I31" s="1"/>
    </row>
    <row r="32" spans="1:9" x14ac:dyDescent="0.25">
      <c r="A32" s="1"/>
      <c r="B32" s="105" t="s">
        <v>247</v>
      </c>
      <c r="C32" s="106"/>
      <c r="D32" s="106"/>
      <c r="E32" s="106"/>
      <c r="F32" s="107"/>
      <c r="G32" s="26">
        <f>G25*(1-'Fane 15. Nøgletal'!C20)*(1+'Fane 15. Nøgletal'!C12)</f>
        <v>706683.73765540356</v>
      </c>
      <c r="H32" s="14" t="s">
        <v>3</v>
      </c>
      <c r="I32" s="1"/>
    </row>
    <row r="33" spans="1:9" x14ac:dyDescent="0.25">
      <c r="A33" s="1"/>
      <c r="B33" s="102" t="s">
        <v>153</v>
      </c>
      <c r="C33" s="103"/>
      <c r="D33" s="103"/>
      <c r="E33" s="103"/>
      <c r="F33" s="104"/>
      <c r="G33" s="26">
        <f>-'Fane 13. Bortfald'!E18*(1+'Fane 15. Nøgletal'!C12)</f>
        <v>0</v>
      </c>
      <c r="H33" s="14" t="s">
        <v>3</v>
      </c>
      <c r="I33" s="1"/>
    </row>
    <row r="34" spans="1:9" x14ac:dyDescent="0.25">
      <c r="A34" s="1"/>
      <c r="B34" s="102" t="s">
        <v>120</v>
      </c>
      <c r="C34" s="103"/>
      <c r="D34" s="103"/>
      <c r="E34" s="103"/>
      <c r="F34" s="104"/>
      <c r="G34" s="26">
        <f>(G30-SUM(G31:G32))*'Fane 15. Nøgletal'!C18+G31*'Fane 15. Nøgletal'!C19+(G32+G33)*'Fane 15. Nøgletal'!C20</f>
        <v>1440463.2022714836</v>
      </c>
      <c r="H34" s="14" t="s">
        <v>3</v>
      </c>
      <c r="I34" s="1"/>
    </row>
    <row r="35" spans="1:9" x14ac:dyDescent="0.25">
      <c r="A35" s="1"/>
      <c r="B35" s="43"/>
      <c r="C35" s="44"/>
      <c r="D35" s="44"/>
      <c r="E35" s="44"/>
      <c r="F35" s="44"/>
      <c r="G35" s="4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75" t="s">
        <v>129</v>
      </c>
      <c r="C37" s="76"/>
      <c r="D37" s="76"/>
      <c r="E37" s="76"/>
      <c r="F37" s="76"/>
      <c r="G37" s="76"/>
      <c r="H37" s="77"/>
      <c r="I37" s="1"/>
    </row>
    <row r="38" spans="1:9" x14ac:dyDescent="0.25">
      <c r="A38" s="1"/>
      <c r="B38" s="102" t="s">
        <v>124</v>
      </c>
      <c r="C38" s="103"/>
      <c r="D38" s="103"/>
      <c r="E38" s="103"/>
      <c r="F38" s="104"/>
      <c r="G38" s="26">
        <f>(SUM(G30,G33)-G34)*(1+'Fane 15. Nøgletal'!C12)</f>
        <v>81209943.324337676</v>
      </c>
      <c r="H38" s="14" t="s">
        <v>3</v>
      </c>
      <c r="I38" s="1"/>
    </row>
    <row r="39" spans="1:9" x14ac:dyDescent="0.25">
      <c r="A39" s="1"/>
      <c r="B39" s="102" t="s">
        <v>154</v>
      </c>
      <c r="C39" s="103"/>
      <c r="D39" s="103"/>
      <c r="E39" s="103"/>
      <c r="F39" s="104"/>
      <c r="G39" s="26">
        <f>-'Fane 13. Bortfald'!E24*(1+'Fane 15. Nøgletal'!C12)</f>
        <v>0</v>
      </c>
      <c r="H39" s="14" t="s">
        <v>3</v>
      </c>
      <c r="I39" s="1"/>
    </row>
    <row r="40" spans="1:9" x14ac:dyDescent="0.25">
      <c r="A40" s="1"/>
      <c r="B40" s="102" t="s">
        <v>121</v>
      </c>
      <c r="C40" s="103"/>
      <c r="D40" s="103"/>
      <c r="E40" s="103"/>
      <c r="F40" s="104"/>
      <c r="G40" s="26">
        <f>(G38+G39)*'Fane 15. Nøgletal'!C20</f>
        <v>2306362.3904111902</v>
      </c>
      <c r="H40" s="14" t="s">
        <v>3</v>
      </c>
      <c r="I40" s="1"/>
    </row>
    <row r="41" spans="1:9" x14ac:dyDescent="0.25">
      <c r="A41" s="1"/>
      <c r="B41" s="43"/>
      <c r="C41" s="44"/>
      <c r="D41" s="44"/>
      <c r="E41" s="44"/>
      <c r="F41" s="44"/>
      <c r="G41" s="4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75" t="s">
        <v>130</v>
      </c>
      <c r="C43" s="76"/>
      <c r="D43" s="76"/>
      <c r="E43" s="76"/>
      <c r="F43" s="76"/>
      <c r="G43" s="76"/>
      <c r="H43" s="77"/>
      <c r="I43" s="1"/>
    </row>
    <row r="44" spans="1:9" x14ac:dyDescent="0.25">
      <c r="A44" s="1"/>
      <c r="B44" s="102" t="s">
        <v>123</v>
      </c>
      <c r="C44" s="103"/>
      <c r="D44" s="103"/>
      <c r="E44" s="103"/>
      <c r="F44" s="104"/>
      <c r="G44" s="26">
        <f>(G38+G39-G40)*(1+'Fane 15. Nøgletal'!C12)</f>
        <v>80457981.478324845</v>
      </c>
      <c r="H44" s="14" t="s">
        <v>3</v>
      </c>
      <c r="I44" s="1"/>
    </row>
    <row r="45" spans="1:9" x14ac:dyDescent="0.25">
      <c r="A45" s="1"/>
      <c r="B45" s="102" t="s">
        <v>155</v>
      </c>
      <c r="C45" s="103"/>
      <c r="D45" s="103"/>
      <c r="E45" s="103"/>
      <c r="F45" s="104"/>
      <c r="G45" s="26">
        <f>-'Fane 13. Bortfald'!E30*(1+'Fane 15. Nøgletal'!C12)</f>
        <v>0</v>
      </c>
      <c r="H45" s="14" t="s">
        <v>3</v>
      </c>
      <c r="I45" s="1"/>
    </row>
    <row r="46" spans="1:9" x14ac:dyDescent="0.25">
      <c r="A46" s="1"/>
      <c r="B46" s="102" t="s">
        <v>122</v>
      </c>
      <c r="C46" s="103"/>
      <c r="D46" s="103"/>
      <c r="E46" s="103"/>
      <c r="F46" s="104"/>
      <c r="G46" s="26">
        <f>(G44+G45)*'Fane 15. Nøgletal'!C20</f>
        <v>2285006.6739844256</v>
      </c>
      <c r="H46" s="14" t="s">
        <v>3</v>
      </c>
      <c r="I46" s="1"/>
    </row>
    <row r="47" spans="1:9" x14ac:dyDescent="0.25">
      <c r="A47" s="1"/>
      <c r="B47" s="43"/>
      <c r="C47" s="44"/>
      <c r="D47" s="44"/>
      <c r="E47" s="44"/>
      <c r="F47" s="44"/>
      <c r="G47" s="4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MGaMJQ75K6QtAS/VfqoBUPZXvQQgoDzDiDdOX2+wyP1uPEV8t17ovZHDma4RSVjIK3+M76wfX24/Zf4M4WcI3A==" saltValue="cNjmJrIWWi6Jdk5NL9gAMw==" spinCount="100000" sheet="1" objects="1" scenarios="1"/>
  <mergeCells count="32">
    <mergeCell ref="B11:F11"/>
    <mergeCell ref="B2:H2"/>
    <mergeCell ref="B38:F38"/>
    <mergeCell ref="B46:F46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3:F33"/>
    <mergeCell ref="B22:H22"/>
    <mergeCell ref="B45:F45"/>
    <mergeCell ref="B23:F23"/>
    <mergeCell ref="B25:F25"/>
    <mergeCell ref="B26:F26"/>
    <mergeCell ref="B40:F40"/>
    <mergeCell ref="B43:H43"/>
    <mergeCell ref="B44:F44"/>
    <mergeCell ref="B29:H29"/>
    <mergeCell ref="B30:F30"/>
    <mergeCell ref="B34:F34"/>
    <mergeCell ref="B37:H37"/>
    <mergeCell ref="B39:F39"/>
    <mergeCell ref="B24:F24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146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102" t="s">
        <v>131</v>
      </c>
      <c r="C9" s="103"/>
      <c r="D9" s="103"/>
      <c r="E9" s="103"/>
      <c r="F9" s="104"/>
      <c r="G9" s="25">
        <v>3.007684125891081E-3</v>
      </c>
      <c r="H9" s="14"/>
      <c r="I9" s="1"/>
    </row>
    <row r="10" spans="1:9" x14ac:dyDescent="0.25">
      <c r="A10" s="1"/>
      <c r="B10" s="102" t="s">
        <v>202</v>
      </c>
      <c r="C10" s="103"/>
      <c r="D10" s="103"/>
      <c r="E10" s="103"/>
      <c r="F10" s="104"/>
      <c r="G10" s="25">
        <v>0</v>
      </c>
      <c r="H10" s="14"/>
      <c r="I10" s="1"/>
    </row>
    <row r="11" spans="1:9" x14ac:dyDescent="0.25">
      <c r="A11" s="1"/>
      <c r="B11" s="43"/>
      <c r="C11" s="44"/>
      <c r="D11" s="44"/>
      <c r="E11" s="44"/>
      <c r="F11" s="44"/>
      <c r="G11" s="44"/>
      <c r="H11" s="22"/>
      <c r="I11" s="1"/>
    </row>
    <row r="12" spans="1:9" ht="40.5" customHeight="1" x14ac:dyDescent="0.25">
      <c r="A12" s="1"/>
      <c r="B12" s="78" t="s">
        <v>212</v>
      </c>
      <c r="C12" s="79"/>
      <c r="D12" s="79"/>
      <c r="E12" s="79"/>
      <c r="F12" s="79"/>
      <c r="G12" s="79"/>
      <c r="H12" s="80"/>
      <c r="I12" s="1"/>
    </row>
    <row r="13" spans="1:9" ht="30.75" customHeight="1" x14ac:dyDescent="0.25">
      <c r="A13" s="20"/>
      <c r="B13" s="110"/>
      <c r="C13" s="110"/>
      <c r="D13" s="110"/>
      <c r="E13" s="110"/>
      <c r="F13" s="110"/>
      <c r="G13" s="110"/>
      <c r="H13" s="110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k+V2fGqXBmFrbhfPhyWsNgMvcNILz+9tc6zS8wwKslMkEtoZb3bUVJmDmHZwdmAipEPLe64Lhy5dGfWoKXpW5A==" saltValue="RHfEPhKcDmd1DssqWO6WLw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2019-08-29T18:36:55Z</dcterms:modified>
</cp:coreProperties>
</file>