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Spildevand\AALBORG KLOAK AS (S109)\ØR2020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0" sheetId="2" r:id="rId2"/>
    <sheet name="Fane 2.2. Økonomisk ramme 2021" sheetId="15" r:id="rId3"/>
    <sheet name="Fane 2.3. Økonomisk ramme 2022" sheetId="22" r:id="rId4"/>
    <sheet name="Fane 2.4. Økonomisk ramme 2023" sheetId="23" r:id="rId5"/>
    <sheet name="Fane 3. Omkostninger i ØR2019" sheetId="27" r:id="rId6"/>
    <sheet name="Fane 4.1. Gen. krav - drift" sheetId="30" r:id="rId7"/>
    <sheet name="Fane 4.2. Gen. krav - anlæg" sheetId="36" r:id="rId8"/>
    <sheet name="Fane 5. Individuelt eff. krav" sheetId="31" r:id="rId9"/>
    <sheet name="Fane 6. Ikke-påvirkelige omk." sheetId="19" r:id="rId10"/>
    <sheet name="Fane 7. Kontrol af ØR2018" sheetId="32" r:id="rId11"/>
    <sheet name="Fane 8. Korrektioner" sheetId="40" r:id="rId12"/>
    <sheet name="Fane 9. Anlægsprojekter" sheetId="11" r:id="rId13"/>
    <sheet name="Fane 10.1. Varige tillæg" sheetId="37" r:id="rId14"/>
    <sheet name="Fane 10.2. Engangstillæg" sheetId="39" r:id="rId15"/>
    <sheet name="Fane 11. Periodevise driftsomk." sheetId="20" r:id="rId16"/>
    <sheet name="Fane 12. Tilknyttet aktivitet" sheetId="29" r:id="rId17"/>
    <sheet name="Fane 13. Bortfald" sheetId="21" r:id="rId18"/>
    <sheet name="Fane 14. Hist. over-underdæk." sheetId="10" r:id="rId19"/>
    <sheet name="Fane 15. Nøgletal" sheetId="26" r:id="rId20"/>
  </sheets>
  <calcPr calcId="162913"/>
</workbook>
</file>

<file path=xl/calcChain.xml><?xml version="1.0" encoding="utf-8"?>
<calcChain xmlns="http://schemas.openxmlformats.org/spreadsheetml/2006/main">
  <c r="E26" i="11" l="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9" i="40" l="1"/>
  <c r="E16" i="40" l="1"/>
  <c r="E12" i="40"/>
  <c r="E27" i="11" l="1"/>
  <c r="E28" i="11"/>
  <c r="E10" i="11"/>
  <c r="C11" i="2" l="1"/>
  <c r="C11" i="15" s="1"/>
  <c r="C10" i="2"/>
  <c r="C10" i="15" s="1"/>
  <c r="G7" i="30" l="1"/>
  <c r="E23" i="27" l="1"/>
  <c r="E24" i="27" s="1"/>
  <c r="E29" i="20" l="1"/>
  <c r="E23" i="20"/>
  <c r="E17" i="20"/>
  <c r="E11" i="20"/>
  <c r="E21" i="32" l="1"/>
  <c r="E12" i="32"/>
  <c r="E26" i="32" l="1"/>
  <c r="E20" i="40" l="1"/>
  <c r="C34" i="2" s="1"/>
  <c r="E28" i="20"/>
  <c r="E16" i="20"/>
  <c r="E22" i="20"/>
  <c r="E24" i="20" s="1"/>
  <c r="C19" i="22" s="1"/>
  <c r="E10" i="20"/>
  <c r="E12" i="20" s="1"/>
  <c r="E18" i="20" l="1"/>
  <c r="C24" i="15" s="1"/>
  <c r="C26" i="2"/>
  <c r="E30" i="20"/>
  <c r="C19" i="23" s="1"/>
  <c r="E29" i="21" l="1"/>
  <c r="E30" i="21" s="1"/>
  <c r="G45" i="36" s="1"/>
  <c r="C29" i="21"/>
  <c r="C30" i="21" s="1"/>
  <c r="G47" i="30" s="1"/>
  <c r="E23" i="21"/>
  <c r="E24" i="21" s="1"/>
  <c r="G39" i="36" s="1"/>
  <c r="C23" i="21"/>
  <c r="C24" i="21" s="1"/>
  <c r="C9" i="22" s="1"/>
  <c r="E17" i="21"/>
  <c r="E18" i="21" s="1"/>
  <c r="G33" i="36" s="1"/>
  <c r="C17" i="21"/>
  <c r="C18" i="21" s="1"/>
  <c r="G35" i="30" s="1"/>
  <c r="G41" i="30" l="1"/>
  <c r="C10" i="23"/>
  <c r="C10" i="22"/>
  <c r="C14" i="15"/>
  <c r="C9" i="23"/>
  <c r="C15" i="15"/>
  <c r="E35" i="39"/>
  <c r="C35" i="39"/>
  <c r="E27" i="39"/>
  <c r="C27" i="39"/>
  <c r="E19" i="39"/>
  <c r="C19" i="39"/>
  <c r="E11" i="39"/>
  <c r="C11" i="39"/>
  <c r="E13" i="39" l="1"/>
  <c r="E12" i="39"/>
  <c r="C21" i="39"/>
  <c r="C20" i="39"/>
  <c r="C22" i="39" s="1"/>
  <c r="C26" i="15" s="1"/>
  <c r="C37" i="39"/>
  <c r="C36" i="39"/>
  <c r="C38" i="39" s="1"/>
  <c r="C21" i="23" s="1"/>
  <c r="E21" i="39"/>
  <c r="E20" i="39"/>
  <c r="E37" i="39"/>
  <c r="E36" i="39"/>
  <c r="C13" i="39"/>
  <c r="C12" i="39"/>
  <c r="C29" i="39"/>
  <c r="C28" i="39"/>
  <c r="C30" i="39" s="1"/>
  <c r="C21" i="22" s="1"/>
  <c r="E29" i="39"/>
  <c r="E28" i="39"/>
  <c r="E22" i="39" l="1"/>
  <c r="C27" i="15" s="1"/>
  <c r="E30" i="39"/>
  <c r="C22" i="22" s="1"/>
  <c r="C23" i="22" s="1"/>
  <c r="E38" i="39"/>
  <c r="C22" i="23" s="1"/>
  <c r="C23" i="23" s="1"/>
  <c r="E14" i="39"/>
  <c r="C29" i="2" s="1"/>
  <c r="C14" i="39"/>
  <c r="C28" i="2" s="1"/>
  <c r="G12" i="10"/>
  <c r="G14" i="10" s="1"/>
  <c r="C28" i="15" l="1"/>
  <c r="C30" i="2"/>
  <c r="G24" i="36"/>
  <c r="G31" i="36" s="1"/>
  <c r="G26" i="30"/>
  <c r="G33" i="30" s="1"/>
  <c r="G6" i="36" l="1"/>
  <c r="G10" i="36" l="1"/>
  <c r="G13" i="36" l="1"/>
  <c r="G17" i="36" s="1"/>
  <c r="G23" i="36" s="1"/>
  <c r="G11" i="30"/>
  <c r="G15" i="30" l="1"/>
  <c r="G19" i="30" s="1"/>
  <c r="G25" i="30" s="1"/>
  <c r="G19" i="36"/>
  <c r="E19" i="27" s="1"/>
  <c r="G21" i="30" l="1"/>
  <c r="E18" i="27" s="1"/>
  <c r="E16" i="27" l="1"/>
  <c r="E17" i="27" s="1"/>
  <c r="E20" i="27" l="1"/>
  <c r="E31" i="27" s="1"/>
  <c r="C9" i="2" l="1"/>
  <c r="E28" i="32"/>
  <c r="C25" i="22" s="1"/>
  <c r="C25" i="23" l="1"/>
  <c r="F29" i="11" l="1"/>
  <c r="C10" i="37" s="1"/>
  <c r="C12" i="37" s="1"/>
  <c r="C13" i="37" s="1"/>
  <c r="C12" i="2" s="1"/>
  <c r="G29" i="11"/>
  <c r="E11" i="21" l="1"/>
  <c r="C11" i="21"/>
  <c r="E11" i="29"/>
  <c r="C11" i="29"/>
  <c r="C15" i="19"/>
  <c r="C16" i="19" s="1"/>
  <c r="E12" i="29" l="1"/>
  <c r="C17" i="2" s="1"/>
  <c r="C12" i="29"/>
  <c r="C16" i="2" s="1"/>
  <c r="C12" i="21"/>
  <c r="C14" i="2" s="1"/>
  <c r="E12" i="21"/>
  <c r="C15" i="2" s="1"/>
  <c r="C17" i="22"/>
  <c r="C22" i="15"/>
  <c r="C24" i="2"/>
  <c r="C17" i="23"/>
  <c r="C12" i="15" l="1"/>
  <c r="G27" i="30"/>
  <c r="G34" i="30" l="1"/>
  <c r="G32" i="30"/>
  <c r="G36" i="30" s="1"/>
  <c r="G40" i="30" s="1"/>
  <c r="G28" i="30"/>
  <c r="C20" i="2" s="1"/>
  <c r="E29" i="11" l="1"/>
  <c r="E10" i="37" s="1"/>
  <c r="E12" i="37" s="1"/>
  <c r="E13" i="37" s="1"/>
  <c r="C13" i="2" s="1"/>
  <c r="C13" i="15" s="1"/>
  <c r="C32" i="2"/>
  <c r="G25" i="36" l="1"/>
  <c r="G30" i="36" s="1"/>
  <c r="C18" i="2"/>
  <c r="C19" i="2" s="1"/>
  <c r="C18" i="15"/>
  <c r="G32" i="36" l="1"/>
  <c r="G26" i="36"/>
  <c r="G42" i="30"/>
  <c r="G34" i="36" l="1"/>
  <c r="C13" i="22"/>
  <c r="G38" i="36" l="1"/>
  <c r="G40" i="36" s="1"/>
  <c r="G46" i="30"/>
  <c r="C21" i="2"/>
  <c r="C22" i="2" l="1"/>
  <c r="G48" i="30"/>
  <c r="C13" i="23" s="1"/>
  <c r="G44" i="36"/>
  <c r="G46" i="36" s="1"/>
  <c r="C35" i="2" l="1"/>
  <c r="C9" i="15"/>
  <c r="C16" i="15" s="1"/>
  <c r="C19" i="15"/>
  <c r="C14" i="22"/>
  <c r="C17" i="15" l="1"/>
  <c r="C20" i="15" l="1"/>
  <c r="C14" i="23"/>
  <c r="C29" i="15" l="1"/>
  <c r="C8" i="22"/>
  <c r="C11" i="22" s="1"/>
  <c r="C12" i="22" l="1"/>
  <c r="C15" i="22" s="1"/>
  <c r="C26" i="22" s="1"/>
  <c r="C8" i="23" l="1"/>
  <c r="C11" i="23" s="1"/>
  <c r="C12" i="23" s="1"/>
  <c r="C15" i="23" l="1"/>
  <c r="C26" i="23" s="1"/>
</calcChain>
</file>

<file path=xl/sharedStrings.xml><?xml version="1.0" encoding="utf-8"?>
<sst xmlns="http://schemas.openxmlformats.org/spreadsheetml/2006/main" count="731" uniqueCount="287">
  <si>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</si>
  <si>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</si>
  <si>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</si>
  <si>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</si>
  <si>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</si>
  <si>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</si>
  <si>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</si>
  <si>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5</t>
  </si>
  <si>
    <t>Fane 8</t>
  </si>
  <si>
    <t>Fane 9</t>
  </si>
  <si>
    <t>Individuelt effektiviseringskrav</t>
  </si>
  <si>
    <t>Historisk over- eller underdækning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</si>
  <si>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</si>
  <si>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</si>
  <si>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</si>
  <si>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</si>
  <si>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</si>
  <si>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</si>
  <si>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Tillæg/fradrag for historisk over- eller underdækning til og med 2010</t>
  </si>
  <si>
    <t>Tillæg/fradrag for historisk over- eller underdækning</t>
  </si>
  <si>
    <t>Oversigt over den økonomiske ramme</t>
  </si>
  <si>
    <t>Prisudvikling</t>
  </si>
  <si>
    <t>Fane 12</t>
  </si>
  <si>
    <t>Fane 2.2</t>
  </si>
  <si>
    <t>Økonomisk ramme for 2019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</si>
  <si>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</si>
  <si>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</si>
  <si>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</si>
  <si>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</si>
  <si>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</si>
  <si>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</si>
  <si>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ØR2019</t>
  </si>
  <si>
    <t>Tilknyttet aktivitet under hovedvirksomheden</t>
  </si>
  <si>
    <t>Beskrivelse af tilknyttet aktivitet</t>
  </si>
  <si>
    <t>Tilknyttet aktivitet under hovedvirksomheden i alt (2018-prisniveau)</t>
  </si>
  <si>
    <t>Videreførte omkostninger fra den økonomiske ramme for 2019</t>
  </si>
  <si>
    <t>Økonomisk ramme for 2020</t>
  </si>
  <si>
    <t>Videreførte omkostninger fra den økonomiske ramme for 2020</t>
  </si>
  <si>
    <t>Videreførte omkostninger fra den økonomiske ramme for 2021</t>
  </si>
  <si>
    <t>Generelt effektiviseringskrav - Drift</t>
  </si>
  <si>
    <t>Generelt effektiviseringskrav - Anlæg</t>
  </si>
  <si>
    <t>Bortfald eller nedsættelse af omkostninger - Anlæg</t>
  </si>
  <si>
    <t>Bortfald eller nedsættelse af omkostninger - Drift</t>
  </si>
  <si>
    <t>Tidligere tilknyttet aktivitet - Anlæg</t>
  </si>
  <si>
    <t>Tidligere tilknyttet aktivitet - Drift</t>
  </si>
  <si>
    <t>Økonomisk ramme for 2021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</si>
  <si>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</si>
  <si>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</si>
  <si>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</si>
  <si>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</si>
  <si>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</si>
  <si>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Fane 2.3</t>
  </si>
  <si>
    <t>Samlet økonomisk ramme for 2020</t>
  </si>
  <si>
    <t>Fane 2.4</t>
  </si>
  <si>
    <t>Samlet økonomisk ramme for 2021</t>
  </si>
  <si>
    <t>Anlægsprojekter</t>
  </si>
  <si>
    <t>Tilknyttet aktivitet</t>
  </si>
  <si>
    <t>Bortfald</t>
  </si>
  <si>
    <t>Fane 13</t>
  </si>
  <si>
    <t>Fane 14</t>
  </si>
  <si>
    <t>Nye tillæg i alt i 2018-prisniveau</t>
  </si>
  <si>
    <t>Bortfald eller nedsættelse i alt i 2018-prisniveau</t>
  </si>
  <si>
    <t>Fane 2.1: Samlet økonomisk ramme for 2020</t>
  </si>
  <si>
    <t>Omkostninger i ØR2019</t>
  </si>
  <si>
    <t>Nye tillæg - Drift</t>
  </si>
  <si>
    <t>Nye tillæg - Anlæg</t>
  </si>
  <si>
    <t>Faktiske ikke-påvirkelige omkostninger i 2018</t>
  </si>
  <si>
    <t>Faktiske omkostninger i 2018</t>
  </si>
  <si>
    <t>Ikke-påvirkelige omkostninger i 2018-prisniveau</t>
  </si>
  <si>
    <t>Ikke-påvirkelige omkostninger i 2020-prisniveau</t>
  </si>
  <si>
    <t>Prisudvikling til brug for nye omkostninger i ØR2020</t>
  </si>
  <si>
    <t>Nye tillæg i alt i 2019-prisniveau</t>
  </si>
  <si>
    <t>Bortfald eller nedsættelse i alt i 2019-prisniveau</t>
  </si>
  <si>
    <t>Tilknyttet aktivitet under hovedvirksomheden i alt (2019-prisniveau)</t>
  </si>
  <si>
    <t>Kontrol med overholdelse af den økonomiske ramme for 2018</t>
  </si>
  <si>
    <t>Indtægtsramme i den økonomiske ramme for 2018</t>
  </si>
  <si>
    <t>Faktiske indtægter i 2018</t>
  </si>
  <si>
    <t>Difference (2018-prisniveau)</t>
  </si>
  <si>
    <t>Heraf beløb indregnet i prislofterne/de økonomiske rammer for 2011-2019</t>
  </si>
  <si>
    <t>Videreførte omkostninger fra den økonomiske ramme for 2018</t>
  </si>
  <si>
    <t>Korrektion af den økonomiske ramme for 2018</t>
  </si>
  <si>
    <t>Oversigt over den økonomiske ramme for 2019</t>
  </si>
  <si>
    <t>Fane 2.2: Samlet økonomisk ramme for 2021</t>
  </si>
  <si>
    <t>Driftsomkostninger i grundlaget til de økonomiske rammer for 2017</t>
  </si>
  <si>
    <t>Generelt effektiviseringskrav til driftsomkostningerne i ØR17</t>
  </si>
  <si>
    <t>Base for driftsomkostninger til de økonomiske rammer for 2018</t>
  </si>
  <si>
    <t>Nye driftsomkostninger til de økonomiske rammer for 2018</t>
  </si>
  <si>
    <t>Generelt effektiviseringskrav til driftsomkostningerne i ØR18</t>
  </si>
  <si>
    <t>Base for driftsomkostninger til de økonomiske rammer for 2019</t>
  </si>
  <si>
    <t>Nye driftsomkostninger til de økonomiske rammer for 2019</t>
  </si>
  <si>
    <t>Generelt effektiviseringskrav til driftsomkostningerne i ØR19</t>
  </si>
  <si>
    <t>Base for driftsomkostninger til de økonomiske rammer for 2020</t>
  </si>
  <si>
    <t>Nye driftsomkostninger til de økonomiske rammer for 2020</t>
  </si>
  <si>
    <t>Generelt effektiviseringskrav til driftsomkostningerne i ØR20</t>
  </si>
  <si>
    <t>Generelt effektiviseringskrav til driftsomkostninger i de økonomiske rammer for 2017</t>
  </si>
  <si>
    <t>Generelt effektiviseringskrav til driftsomkostninger i de økonomiske rammer for 2018</t>
  </si>
  <si>
    <t>Generelt effektiviseringskrav til driftsomkostninger i de økonomiske rammer for 2019</t>
  </si>
  <si>
    <t>Generelt effektiviseringskrav til driftsomkostninger i de økonomiske rammer for 2020</t>
  </si>
  <si>
    <t>Generelt effektiviseringskrav til anlægsomkostninger i de økonomiske rammer for 2017</t>
  </si>
  <si>
    <t>Generelt effektiviseringskrav til anlægsomkostningerne i ØR17</t>
  </si>
  <si>
    <t>Generelt effektiviseringskrav til driftsomkostninger i de økonomiske rammer for 2021</t>
  </si>
  <si>
    <t>Base for driftsomkostninger til de økonomiske rammer for 2021</t>
  </si>
  <si>
    <t>Generelt effektiviseringskrav til driftsomkostningerne i ØR21</t>
  </si>
  <si>
    <t>Vejledende generelt effektiviseringskrav til driftsomkostningerne i ØR22</t>
  </si>
  <si>
    <t>Vejledende generelt effektiviseringskrav til driftsomkostningerne i ØR23</t>
  </si>
  <si>
    <t>Anlægssomkostninger i grundlaget til de økonomiske rammer for 2017</t>
  </si>
  <si>
    <t>Generelt effektiviseringskrav til anlægsomkostninger i de økonomiske rammer for 2018</t>
  </si>
  <si>
    <t>Base for anlægsomkostninger til de økonomiske rammer for 2018</t>
  </si>
  <si>
    <t>Nye anlægsomkostninger til de økonomiske rammer for 2018</t>
  </si>
  <si>
    <t>Generelt effektiviseringskrav til anlægsomkostningerne i ØR18</t>
  </si>
  <si>
    <t>Generelt effektiviseringskrav til anlægsomkostninger i de økonomiske rammer for 2019</t>
  </si>
  <si>
    <t>Base for anlægsomkostninger til de økonomiske rammer for 2019</t>
  </si>
  <si>
    <t>Nye anlægsomkostninger til de økonomiske rammer for 2019</t>
  </si>
  <si>
    <t>Generelt effektiviseringskrav til anlægsomkostningerne i ØR19</t>
  </si>
  <si>
    <t>Generelt effektiviseringskrav til anlægsomkostninger i de økonomiske rammer for 2020</t>
  </si>
  <si>
    <t>Base for anlægsomkostninger til de økonomiske rammer for 2020</t>
  </si>
  <si>
    <t>Nye anlægsomkostninger til de økonomiske rammer for 2020</t>
  </si>
  <si>
    <t>Generelt effektiviseringskrav til anlægsomkostningerne i ØR20</t>
  </si>
  <si>
    <t>Generelt effektiviseringskrav til anlægsomkostninger i de økonomiske rammer for 2021</t>
  </si>
  <si>
    <t>Base for anlægsomkostninger til de økonomiske rammer for 2021</t>
  </si>
  <si>
    <t>Generelt effektiviseringskrav til anlægsomkostningerne i ØR21</t>
  </si>
  <si>
    <t>Vejledende generelt effektiviseringskrav til anlægsomkostningerne i ØR22</t>
  </si>
  <si>
    <t>Vejledende generelt effektiviseringskrav til anlægsomkostningerne i ØR23</t>
  </si>
  <si>
    <t>Base for anlægsomkostninger til de vejledende økonomiske rammer for 2023</t>
  </si>
  <si>
    <t>Base for anlægsomkostninger til de vejledende økonomiske rammer for 2022</t>
  </si>
  <si>
    <t>Base for driftsomkostninger til de vejledende økonomiske rammer for 2023</t>
  </si>
  <si>
    <t>Base for driftsomkostninger til de vejledende økonomiske rammer for 2022</t>
  </si>
  <si>
    <t>Generelt effektiviseringskrav til driftsomkostninger i de vejledende økonomiske rammer for 2022</t>
  </si>
  <si>
    <t>Generelt effektiviseringskrav til driftsomkostninger i de vejledende økonomiske rammer for 2023</t>
  </si>
  <si>
    <t>Generelt effektiviseringskrav til anlægsomkostninger i de vejledende økonomiske rammer for 2022</t>
  </si>
  <si>
    <t>Generelt effektiviseringskrav til anlægsomkostninger i de vejledende økonomiske rammer for 2023</t>
  </si>
  <si>
    <t>Individuelt effektiviseringskrav til de økonomiske rammer for 2017</t>
  </si>
  <si>
    <t>Samlet korrektion af budgetterede omkostninger i de økonomiske rammer for 2017 og 2018</t>
  </si>
  <si>
    <t>Vejledende økonomisk ramme for 2022</t>
  </si>
  <si>
    <t>Vejledende økonomisk ramme for 2023</t>
  </si>
  <si>
    <t>Over- eller underdækning tillagt senere end 31. december 2010</t>
  </si>
  <si>
    <t>Tillæg/fradrag til den økonomiske ramme for 2020 i alt</t>
  </si>
  <si>
    <t>Nye varige tillæg</t>
  </si>
  <si>
    <t>Engangstillæg - Drift</t>
  </si>
  <si>
    <t>Engangstillæg - Anlæg</t>
  </si>
  <si>
    <t>Fane 7</t>
  </si>
  <si>
    <t>Varige tillæg</t>
  </si>
  <si>
    <t>Engangstillæg</t>
  </si>
  <si>
    <t>Periodevise driftsomkostninger</t>
  </si>
  <si>
    <t>Periodevise driftsomkostninger i alt</t>
  </si>
  <si>
    <t>Engangstillæg i alt</t>
  </si>
  <si>
    <t>Fane 5: Individuelt effektiviseringskrav</t>
  </si>
  <si>
    <t>Bortfald af driftsomkostninger i de økonomiske rammer for 2021</t>
  </si>
  <si>
    <t>Bortfald af driftsomkostninger i de økonomiske rammer for 2022</t>
  </si>
  <si>
    <t>Bortfald af driftsomkostninger i de økonomiske rammer for 2023</t>
  </si>
  <si>
    <t>Bortfald eller nedsættelse i alt i 2020-prisniveau</t>
  </si>
  <si>
    <t>Bortfald eller nedsættelse i alt i 2021-prisniveau</t>
  </si>
  <si>
    <t>Bortfald eller nedsættelse i alt i 2022-prisniveau</t>
  </si>
  <si>
    <t>Bortfald af anlægsomkostninger i de økonomiske rammer for 2021</t>
  </si>
  <si>
    <t>Bortfald af anlægsomkostninger i de økonomiske rammer for 2022</t>
  </si>
  <si>
    <t>Bortfald af anlægsomkostninger i de økonomiske rammer for 2023</t>
  </si>
  <si>
    <t>Økonomisk ramme for 2023</t>
  </si>
  <si>
    <t>Periodevise driftsomkostninger i alt i 2018-prisniveau</t>
  </si>
  <si>
    <t>Periodevise driftsomkostninger til de økonomiske rammer for 2020</t>
  </si>
  <si>
    <t>Periodevise driftsomkostninger til de økonomiske rammer for 2021</t>
  </si>
  <si>
    <t>Periodevise driftsomkostninger til de økonomiske rammer for 2022</t>
  </si>
  <si>
    <t>Periodevise driftsomkostninger til de økonomiske rammer for 2023</t>
  </si>
  <si>
    <t>Periodevise driftsomkostninger i alt i 2020-prisniveau</t>
  </si>
  <si>
    <t>Periodevise driftsomkostninger i alt i 2021-prisniveau</t>
  </si>
  <si>
    <t>Periodevise driftsomkostninger i alt i 2022-prisniveau</t>
  </si>
  <si>
    <t>Periodevise driftsomkostninger i alt i 2023-prisniveau</t>
  </si>
  <si>
    <t>Bortfald eller nedsættelse fra og med de økonomiske rammer for 2022</t>
  </si>
  <si>
    <t>Bortfald eller nedsættelse fra og med de økonomiske rammer for 2020</t>
  </si>
  <si>
    <t>Bortfald eller nedsættelse fra og med de økonomiske rammer for 2021</t>
  </si>
  <si>
    <t>Bortfald eller nedsættelse fra og med de økonomiske rammer for 2023</t>
  </si>
  <si>
    <t>Andre korrektioner</t>
  </si>
  <si>
    <t>Kontrol med overholdelse af indtægtsrammer</t>
  </si>
  <si>
    <t>Fane 15</t>
  </si>
  <si>
    <t>Kontrol af den økonomiske ramme for 2018</t>
  </si>
  <si>
    <t>Korrektion af periodevise driftsomkostninger i de økonomiske rammer for 2018</t>
  </si>
  <si>
    <t>Korrektion af tidligere godkendte omkostninger til medfinansiering af klimatilpasningsprojekter</t>
  </si>
  <si>
    <t>Generelt effektiviseringskrav på drift</t>
  </si>
  <si>
    <t>Generelt effektiviseringskrav på anlæg</t>
  </si>
  <si>
    <t>Korrektion af forkert prisfremskrivning af kontrol og korrektioner i de økonomiske rammer for 2019</t>
  </si>
  <si>
    <t>Kontrol med overholdelse af den økonomiske ramme for 2017</t>
  </si>
  <si>
    <t>Indtægtsramme i den økonomiske ramme for 2017</t>
  </si>
  <si>
    <t>Faktiske indtægter i 2017</t>
  </si>
  <si>
    <t>Difference (2017-prisniveau)</t>
  </si>
  <si>
    <t>Engangstillæg til de økonomiske rammer for 2020</t>
  </si>
  <si>
    <t>Engangstillæg til de økonomiske rammer for 2021</t>
  </si>
  <si>
    <t>Engangstillæg til de økonomiske rammer for 2022</t>
  </si>
  <si>
    <t>Engangstillæg til de økonomiske rammer for 2023</t>
  </si>
  <si>
    <t>Engangstillæg i alt i 2018-prisniveau</t>
  </si>
  <si>
    <t>Engangstillæg i alt i 2020-prisniveau</t>
  </si>
  <si>
    <t>Engangstillæg i alt i 2021-prisniveau</t>
  </si>
  <si>
    <t>Korrektioner af den økonomiske ramme for 2018 i alt</t>
  </si>
  <si>
    <t>Generelt effektiviseringskrav</t>
  </si>
  <si>
    <t>Tillæg til tilbagebetaling af vejbidrag</t>
  </si>
  <si>
    <t>Tillæg til den økonomiske ramme for 2020</t>
  </si>
  <si>
    <t>Tillæg til den økonomiske ramme for 2021</t>
  </si>
  <si>
    <t>Tillæg til den økonomiske ramme for 2022</t>
  </si>
  <si>
    <t>Tillæg til den økonomiske ramme for 2023</t>
  </si>
  <si>
    <t>Samlede tillæg til periodevise driftsomkostninger jf. indmeldte oprensningsplan</t>
  </si>
  <si>
    <t>Faktisk periodevis driftsomkostning i 2018</t>
  </si>
  <si>
    <t>Difference (Korrektion)</t>
  </si>
  <si>
    <t>Antal år i næste reguleringsperiode</t>
  </si>
  <si>
    <t>Til indregning i de økonomiske rammer for 2022-2025</t>
  </si>
  <si>
    <t>Individuelt effektiviseringskrav til de økonomiske rammer for 2018-2021</t>
  </si>
  <si>
    <t>Generelt effektiviseringskrav til driftsomkostningerne</t>
  </si>
  <si>
    <t>Generelt effektiviseringskrav til anlægsomkostningerne</t>
  </si>
  <si>
    <t xml:space="preserve"> - Heraf nye omkostninger i ØR19 - Drift</t>
  </si>
  <si>
    <t xml:space="preserve"> - Heraf nye omkostninger i ØR19 - Anlæg</t>
  </si>
  <si>
    <t>Nøgletal</t>
  </si>
  <si>
    <t>Fane 15: Nøgletal</t>
  </si>
  <si>
    <t xml:space="preserve">Note: Denne opgørelse er taget fra jeres statusmeddelelse for den økonomiske ramme for 2019. I kan derfor ikke komme med høringssvar til denne opgørelse. </t>
  </si>
  <si>
    <t>Fradrag i den økonomiske ramme for 2022-2025 i alt</t>
  </si>
  <si>
    <t>Fradrag for kontrol med overholdelse af indtægtsrammen</t>
  </si>
  <si>
    <t xml:space="preserve">Note: Beregningerne af jeres individuelle effektiviseringskrav er taget fra jeres afgørelse til den økonomiske ramme for henholdsvis 2017 og 2018-2021. I kan derfor ikke komme med høringssvar til denne opgørelse. </t>
  </si>
  <si>
    <t xml:space="preserve"> - Heraf nye omkostninger i ØR20 - Drift</t>
  </si>
  <si>
    <t>Til statusmeddelelse for 2020 og 2021</t>
  </si>
  <si>
    <t>Fane 2.3: Samlet økonomisk ramme for 2022</t>
  </si>
  <si>
    <t>Fane 2.4: Samlet økonomisk ramme for 2023</t>
  </si>
  <si>
    <t xml:space="preserve"> - Heraf nye omkostninger i ØR20 - Anlæg</t>
  </si>
  <si>
    <t>Tidligere godkendt tillæg indregnet i den økonomiske ramme for 2018</t>
  </si>
  <si>
    <t>Faktisk omkostning til medfinansiering af klimatilpasningsprojekter i 2018</t>
  </si>
  <si>
    <t>Videreførte omkostninger fra den økonomiske ramme for 2022</t>
  </si>
  <si>
    <t>Fane 4.1</t>
  </si>
  <si>
    <t>Fane 4.2</t>
  </si>
  <si>
    <t>Fane 6</t>
  </si>
  <si>
    <t>Fane 10.1</t>
  </si>
  <si>
    <t>Fane 10.2</t>
  </si>
  <si>
    <t>Fane 11</t>
  </si>
  <si>
    <t>Fane 13: Bortfald eller nedsættelse af omkostninger til mål, medfinansiering eller udvidelse</t>
  </si>
  <si>
    <t>Fane 14: Historisk over- eller underdækning</t>
  </si>
  <si>
    <t>Fane 12: Tilknyttet aktivitet under hovedvirksomheden</t>
  </si>
  <si>
    <t>Fane 10.2: Engangstillæg</t>
  </si>
  <si>
    <t>Fane 10.1: Varige tillæg</t>
  </si>
  <si>
    <t>Fane 7: Kontrol med overholdelse af den økonomiske ramme for 2018</t>
  </si>
  <si>
    <t>Fane 6: Ikke-påvirkelige omkostninger</t>
  </si>
  <si>
    <t>Fane 4.2: Generelt effektiviseringskrav til anlægsomkostningerne</t>
  </si>
  <si>
    <t>Fane 4.1: Generelt effektiviseringskrav til driftsomkostningerne</t>
  </si>
  <si>
    <t>Prisudvikling til brug for ØR2017</t>
  </si>
  <si>
    <t>Prisudvikling til brug for ØR2018-2021</t>
  </si>
  <si>
    <t>Generelt effektiviseringskrav til brug for anlægsomkostninger i ØR2017</t>
  </si>
  <si>
    <t>Generelt effektiviseringskrav til brug for nye anlægsomkostninger i ØR2019</t>
  </si>
  <si>
    <t>Generelt effektiviseringskrav til brug for anlægsomkostninger i ØR2018-2021</t>
  </si>
  <si>
    <t>Generelt effektiviseringskrav til brug for nye anlægsomkostninger i ØR2020</t>
  </si>
  <si>
    <t>Generelt effektiviseringskrav til brug for driftsomkostninger</t>
  </si>
  <si>
    <t>Fane 11: Periodevise driftsomkostninger givet under prisloftsbekendtgørelsen</t>
  </si>
  <si>
    <t>Tillæg til medfinansieringsprojekter godkendt under prisloftsbekendtgørelsen</t>
  </si>
  <si>
    <t>-Heraf nye anlægsomkostninger til de økonomiske rammer for 2019</t>
  </si>
  <si>
    <t>- Heraf nye anlægsomkostninger til de økonomiske rammer for 2019</t>
  </si>
  <si>
    <t>- Heraf nye anlægsomkostninger til de økonomiske rammer for 2020</t>
  </si>
  <si>
    <t>- Heraf nye driftsomkostninger til de økonomiske rammer for 2019</t>
  </si>
  <si>
    <t>- Heraf nye driftsomkostninger til de økonomiske rammer for 2020</t>
  </si>
  <si>
    <t>Periodevise driftsomkostninger i den økonomiske ramme for 2018</t>
  </si>
  <si>
    <t>Effektiviseringskrav af periodevise driftsomkostninger</t>
  </si>
  <si>
    <t>Periodevise driftsomkostninger i den økonomiske ramme for 2018 i alt</t>
  </si>
  <si>
    <t>Periodevise driftsomkostninger i den økonomiske ramme for 2017</t>
  </si>
  <si>
    <t>Fane 3: Videreførte omkostninger fra den økonomiske ramme for 2019</t>
  </si>
  <si>
    <t>Fane 3</t>
  </si>
  <si>
    <t>Korrektion af driftsomkostninger i grundlaget</t>
  </si>
  <si>
    <t>Korrektion af anlægsomkostninger i grundlaget</t>
  </si>
  <si>
    <t>Korrektion af tidligere rammer</t>
  </si>
  <si>
    <t>Tillæg/fradrag for korrektion af tidligere rammer</t>
  </si>
  <si>
    <t>Fane 8: Korrektion af tidligere rammer</t>
  </si>
  <si>
    <t>Fane 9: Anlægsprojekter igangsat senest den 1. marts 2016</t>
  </si>
  <si>
    <t>Anlægsprojekter igangsat senest den 1. marts 2016</t>
  </si>
  <si>
    <t>Anlægsprojekter igangsat senest den 1. marts 2016 i alt</t>
  </si>
  <si>
    <t>Ingen tilknyttet aktivitet</t>
  </si>
  <si>
    <t>Ingen bortfald eller nedsættelse</t>
  </si>
  <si>
    <t>Prisfremskrivning til 2017-prisniveau af korrektion af periodevise driftsomkostninger i de økonomiske rammer for 2019</t>
  </si>
  <si>
    <t>Spildevandsafgift</t>
  </si>
  <si>
    <t>Afgift til Forsyningssekretariatet</t>
  </si>
  <si>
    <t>Selskabsskat</t>
  </si>
  <si>
    <t>Ejendomsskatter</t>
  </si>
  <si>
    <t>Tjenestemandspensioner</t>
  </si>
  <si>
    <t>Spildevandskloakering i Det Åbne Land</t>
  </si>
  <si>
    <t>Ingen engangstillæg</t>
  </si>
  <si>
    <t>Ledningsnet ≤ Ø 200 mm</t>
  </si>
  <si>
    <t>Ø 200 mm &lt; Ledningsnet ≤ Ø 500 mm</t>
  </si>
  <si>
    <t>Ø 500 mm &lt; Ledningsnet ≤ Ø 800 mm</t>
  </si>
  <si>
    <t>Brønde</t>
  </si>
  <si>
    <t>Stik</t>
  </si>
  <si>
    <t>Jordbassin Klasse A</t>
  </si>
  <si>
    <t>Indløb-/udløbsarrangement</t>
  </si>
  <si>
    <t>Beluftningstanke, Konstruktioner</t>
  </si>
  <si>
    <t>Beluftningstanke, Mek/EL</t>
  </si>
  <si>
    <t>Beluftningstanke, SRO</t>
  </si>
  <si>
    <t>Ø 800 mm &lt; Ledningsnet ≤ Ø 1000 mm</t>
  </si>
  <si>
    <t>Ø 1000 mm &lt; Ledningsnet ≤ Ø 1200 mm</t>
  </si>
  <si>
    <t>Anlægsprojekter igangsat senest 1. marts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</si>
</sst>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</cellStyleXfs>
  <cellXfs count="128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9" borderId="1" xfId="0" applyNumberFormat="1" applyFont="1" applyFill="1" applyBorder="1" applyAlignment="1" applyProtection="1">
      <alignment wrapText="1"/>
    </xf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3" fontId="10" fillId="4" borderId="1" xfId="0" applyNumberFormat="1" applyFont="1" applyFill="1" applyBorder="1" applyProtection="1"/>
    <xf numFmtId="0" fontId="0" fillId="2" borderId="0" xfId="0" applyFill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3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9" borderId="1" xfId="0" applyNumberFormat="1" applyFont="1" applyFill="1" applyBorder="1" applyAlignment="1" applyProtection="1"/>
    <xf numFmtId="10" fontId="8" fillId="9" borderId="1" xfId="4" applyNumberFormat="1" applyFont="1" applyFill="1" applyBorder="1" applyProtection="1"/>
    <xf numFmtId="165" fontId="8" fillId="9" borderId="1" xfId="1" applyNumberFormat="1" applyFont="1" applyFill="1" applyBorder="1" applyProtection="1"/>
    <xf numFmtId="49" fontId="8" fillId="9" borderId="2" xfId="0" applyNumberFormat="1" applyFont="1" applyFill="1" applyBorder="1" applyAlignment="1" applyProtection="1"/>
    <xf numFmtId="10" fontId="8" fillId="9" borderId="1" xfId="4" applyNumberFormat="1" applyFont="1" applyFill="1" applyBorder="1" applyAlignment="1" applyProtection="1"/>
    <xf numFmtId="0" fontId="17" fillId="0" borderId="2" xfId="0" applyFont="1" applyFill="1" applyBorder="1" applyAlignment="1" applyProtection="1"/>
    <xf numFmtId="3" fontId="17" fillId="0" borderId="1" xfId="0" applyNumberFormat="1" applyFont="1" applyFill="1" applyBorder="1" applyProtection="1"/>
    <xf numFmtId="0" fontId="17" fillId="0" borderId="1" xfId="0" applyFont="1" applyFill="1" applyBorder="1" applyProtection="1"/>
    <xf numFmtId="0" fontId="8" fillId="9" borderId="1" xfId="0" applyFont="1" applyFill="1" applyBorder="1" applyAlignment="1" applyProtection="1"/>
    <xf numFmtId="10" fontId="8" fillId="0" borderId="3" xfId="4" applyNumberFormat="1" applyFont="1" applyFill="1" applyBorder="1" applyAlignment="1" applyProtection="1"/>
    <xf numFmtId="10" fontId="8" fillId="0" borderId="1" xfId="4" applyNumberFormat="1" applyFont="1" applyFill="1" applyBorder="1" applyProtection="1"/>
    <xf numFmtId="3" fontId="8" fillId="0" borderId="1" xfId="0" applyNumberFormat="1" applyFont="1" applyFill="1" applyBorder="1" applyAlignment="1" applyProtection="1">
      <alignment wrapText="1"/>
    </xf>
    <xf numFmtId="0" fontId="8" fillId="4" borderId="2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8" fillId="9" borderId="2" xfId="0" applyFont="1" applyFill="1" applyBorder="1" applyAlignment="1" applyProtection="1"/>
    <xf numFmtId="0" fontId="16" fillId="2" borderId="0" xfId="0" applyFont="1" applyFill="1" applyAlignment="1" applyProtection="1">
      <alignment horizontal="center"/>
    </xf>
    <xf numFmtId="0" fontId="8" fillId="9" borderId="2" xfId="0" quotePrefix="1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 wrapText="1"/>
    </xf>
    <xf numFmtId="49" fontId="8" fillId="9" borderId="2" xfId="0" applyNumberFormat="1" applyFont="1" applyFill="1" applyBorder="1" applyAlignment="1" applyProtection="1">
      <alignment horizontal="left" wrapText="1"/>
    </xf>
    <xf numFmtId="0" fontId="4" fillId="2" borderId="0" xfId="0" applyFont="1" applyFill="1" applyAlignment="1" applyProtection="1">
      <alignment horizontal="center" vertical="center"/>
    </xf>
    <xf numFmtId="0" fontId="1" fillId="8" borderId="4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5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3" borderId="4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5" xfId="2" applyFont="1" applyFill="1" applyBorder="1" applyAlignment="1" applyProtection="1">
      <alignment horizontal="center"/>
    </xf>
    <xf numFmtId="0" fontId="1" fillId="5" borderId="4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5" xfId="2" applyFont="1" applyFill="1" applyBorder="1" applyAlignment="1" applyProtection="1">
      <alignment horizontal="center"/>
    </xf>
    <xf numFmtId="0" fontId="1" fillId="10" borderId="4" xfId="2" applyFont="1" applyFill="1" applyBorder="1" applyAlignment="1" applyProtection="1">
      <alignment horizontal="center"/>
    </xf>
    <xf numFmtId="0" fontId="1" fillId="10" borderId="0" xfId="2" applyFont="1" applyFill="1" applyBorder="1" applyAlignment="1" applyProtection="1">
      <alignment horizontal="center"/>
    </xf>
    <xf numFmtId="0" fontId="1" fillId="10" borderId="5" xfId="2" applyFont="1" applyFill="1" applyBorder="1" applyAlignment="1" applyProtection="1">
      <alignment horizontal="center"/>
    </xf>
    <xf numFmtId="0" fontId="13" fillId="6" borderId="4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5" xfId="2" applyFont="1" applyFill="1" applyBorder="1" applyAlignment="1" applyProtection="1">
      <alignment horizontal="center"/>
    </xf>
    <xf numFmtId="0" fontId="13" fillId="7" borderId="4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5" xfId="2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8" fillId="9" borderId="2" xfId="0" applyFont="1" applyFill="1" applyBorder="1" applyAlignment="1" applyProtection="1">
      <alignment horizontal="left" wrapText="1"/>
    </xf>
    <xf numFmtId="0" fontId="8" fillId="9" borderId="6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6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wrapText="1"/>
    </xf>
    <xf numFmtId="0" fontId="8" fillId="4" borderId="6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wrapText="1"/>
    </xf>
    <xf numFmtId="0" fontId="8" fillId="9" borderId="6" xfId="0" applyFont="1" applyFill="1" applyBorder="1" applyAlignment="1" applyProtection="1">
      <alignment wrapText="1"/>
    </xf>
    <xf numFmtId="0" fontId="8" fillId="9" borderId="3" xfId="0" applyFont="1" applyFill="1" applyBorder="1" applyAlignment="1" applyProtection="1">
      <alignment wrapText="1"/>
    </xf>
    <xf numFmtId="0" fontId="8" fillId="9" borderId="2" xfId="0" quotePrefix="1" applyFont="1" applyFill="1" applyBorder="1" applyAlignment="1" applyProtection="1">
      <alignment wrapText="1"/>
    </xf>
    <xf numFmtId="0" fontId="8" fillId="9" borderId="6" xfId="0" quotePrefix="1" applyFont="1" applyFill="1" applyBorder="1" applyAlignment="1" applyProtection="1">
      <alignment wrapText="1"/>
    </xf>
    <xf numFmtId="0" fontId="8" fillId="9" borderId="3" xfId="0" quotePrefix="1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/>
    <xf numFmtId="0" fontId="8" fillId="4" borderId="6" xfId="0" applyFont="1" applyFill="1" applyBorder="1" applyAlignment="1" applyProtection="1"/>
    <xf numFmtId="0" fontId="8" fillId="4" borderId="3" xfId="0" applyFont="1" applyFill="1" applyBorder="1" applyAlignment="1" applyProtection="1"/>
    <xf numFmtId="0" fontId="8" fillId="9" borderId="2" xfId="0" applyFont="1" applyFill="1" applyBorder="1" applyAlignment="1" applyProtection="1">
      <alignment horizontal="left"/>
    </xf>
    <xf numFmtId="0" fontId="8" fillId="9" borderId="6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/>
    <xf numFmtId="0" fontId="8" fillId="9" borderId="6" xfId="0" applyFont="1" applyFill="1" applyBorder="1" applyAlignment="1" applyProtection="1"/>
    <xf numFmtId="0" fontId="8" fillId="9" borderId="3" xfId="0" applyFont="1" applyFill="1" applyBorder="1" applyAlignment="1" applyProtection="1"/>
    <xf numFmtId="0" fontId="8" fillId="9" borderId="2" xfId="0" applyFont="1" applyFill="1" applyBorder="1" applyAlignment="1" applyProtection="1"/>
    <xf numFmtId="0" fontId="16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 wrapText="1"/>
    </xf>
    <xf numFmtId="0" fontId="8" fillId="9" borderId="2" xfId="0" quotePrefix="1" applyFont="1" applyFill="1" applyBorder="1" applyAlignment="1" applyProtection="1">
      <alignment horizontal="left"/>
    </xf>
    <xf numFmtId="0" fontId="8" fillId="9" borderId="6" xfId="0" quotePrefix="1" applyFont="1" applyFill="1" applyBorder="1" applyAlignment="1" applyProtection="1">
      <alignment horizontal="left"/>
    </xf>
    <xf numFmtId="0" fontId="8" fillId="9" borderId="3" xfId="0" quotePrefix="1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49" fontId="8" fillId="9" borderId="2" xfId="0" applyNumberFormat="1" applyFont="1" applyFill="1" applyBorder="1" applyAlignment="1" applyProtection="1">
      <alignment horizontal="left" wrapText="1"/>
    </xf>
    <xf numFmtId="49" fontId="8" fillId="9" borderId="6" xfId="0" applyNumberFormat="1" applyFont="1" applyFill="1" applyBorder="1" applyAlignment="1" applyProtection="1">
      <alignment horizontal="left" wrapText="1"/>
    </xf>
    <xf numFmtId="49" fontId="8" fillId="9" borderId="3" xfId="0" applyNumberFormat="1" applyFont="1" applyFill="1" applyBorder="1" applyAlignment="1" applyProtection="1">
      <alignment horizontal="left" wrapText="1"/>
    </xf>
    <xf numFmtId="0" fontId="8" fillId="9" borderId="2" xfId="0" quotePrefix="1" applyFont="1" applyFill="1" applyBorder="1" applyAlignment="1" applyProtection="1">
      <alignment horizontal="left" wrapText="1"/>
    </xf>
    <xf numFmtId="0" fontId="8" fillId="9" borderId="6" xfId="0" quotePrefix="1" applyFont="1" applyFill="1" applyBorder="1" applyAlignment="1" applyProtection="1">
      <alignment horizontal="left" wrapText="1"/>
    </xf>
    <xf numFmtId="0" fontId="8" fillId="9" borderId="3" xfId="0" quotePrefix="1" applyFont="1" applyFill="1" applyBorder="1" applyAlignment="1" applyProtection="1">
      <alignment horizontal="left" wrapText="1"/>
    </xf>
    <xf numFmtId="0" fontId="10" fillId="4" borderId="2" xfId="0" applyFont="1" applyFill="1" applyBorder="1" applyAlignment="1" applyProtection="1">
      <alignment horizontal="left"/>
    </xf>
    <xf numFmtId="0" fontId="10" fillId="4" borderId="6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0" borderId="1" xfId="0" applyNumberFormat="1" applyFont="1" applyFill="1" applyBorder="1" applyProtection="1"/>
    <xf numFmtId="49" fontId="8" fillId="9" borderId="2" xfId="0" applyNumberFormat="1" applyFont="1" applyFill="1" applyBorder="1" applyAlignment="1" applyProtection="1">
      <alignment horizontal="left"/>
    </xf>
  </cellXfs>
  <cellStyles count="5">
    <cellStyle name="Komma" xfId="1" builtinId="3"/>
    <cellStyle name="Link" xfId="2" builtinId="8"/>
    <cellStyle name="Normal" xfId="0" builtinId="0"/>
    <cellStyle name="Normal 12" xfId="3"/>
    <cellStyle name="Procent" xfId="4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52" t="s">
        <v>4</v>
      </c>
      <c r="E6" s="52"/>
      <c r="F6" s="52"/>
      <c r="G6" s="52"/>
      <c r="H6" s="3"/>
      <c r="I6" s="1"/>
    </row>
    <row r="7" spans="1:9" ht="15" customHeight="1" x14ac:dyDescent="0.25">
      <c r="A7" s="1"/>
      <c r="B7" s="1"/>
      <c r="C7" s="3"/>
      <c r="D7" s="52"/>
      <c r="E7" s="52"/>
      <c r="F7" s="52"/>
      <c r="G7" s="52"/>
      <c r="H7" s="3"/>
      <c r="I7" s="1"/>
    </row>
    <row r="8" spans="1:9" ht="15.75" x14ac:dyDescent="0.25">
      <c r="A8" s="1"/>
      <c r="B8" s="1"/>
      <c r="C8" s="4"/>
      <c r="D8" s="57" t="s">
        <v>214</v>
      </c>
      <c r="E8" s="57"/>
      <c r="F8" s="57"/>
      <c r="G8" s="57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56" t="s">
        <v>5</v>
      </c>
      <c r="E11" s="56"/>
      <c r="F11" s="56"/>
      <c r="G11" s="56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58" t="s">
        <v>52</v>
      </c>
      <c r="E13" s="59"/>
      <c r="F13" s="59"/>
      <c r="G13" s="60"/>
      <c r="H13" s="1"/>
      <c r="I13" s="1"/>
    </row>
    <row r="14" spans="1:9" x14ac:dyDescent="0.25">
      <c r="A14" s="1"/>
      <c r="B14" s="1"/>
      <c r="C14" s="6" t="s">
        <v>23</v>
      </c>
      <c r="D14" s="58" t="s">
        <v>54</v>
      </c>
      <c r="E14" s="59"/>
      <c r="F14" s="59"/>
      <c r="G14" s="60"/>
      <c r="H14" s="1"/>
      <c r="I14" s="1"/>
    </row>
    <row r="15" spans="1:9" x14ac:dyDescent="0.25">
      <c r="A15" s="1"/>
      <c r="B15" s="1"/>
      <c r="C15" s="6" t="s">
        <v>51</v>
      </c>
      <c r="D15" s="58" t="s">
        <v>133</v>
      </c>
      <c r="E15" s="59"/>
      <c r="F15" s="59"/>
      <c r="G15" s="60"/>
      <c r="H15" s="1"/>
      <c r="I15" s="1"/>
    </row>
    <row r="16" spans="1:9" x14ac:dyDescent="0.25">
      <c r="A16" s="1"/>
      <c r="B16" s="1"/>
      <c r="C16" s="6" t="s">
        <v>53</v>
      </c>
      <c r="D16" s="58" t="s">
        <v>134</v>
      </c>
      <c r="E16" s="59"/>
      <c r="F16" s="59"/>
      <c r="G16" s="60"/>
      <c r="H16" s="1"/>
      <c r="I16" s="1"/>
    </row>
    <row r="17" spans="1:9" x14ac:dyDescent="0.25">
      <c r="A17" s="1"/>
      <c r="B17" s="1"/>
      <c r="C17" s="6" t="s">
        <v>255</v>
      </c>
      <c r="D17" s="58" t="s">
        <v>63</v>
      </c>
      <c r="E17" s="59"/>
      <c r="F17" s="59"/>
      <c r="G17" s="60"/>
      <c r="H17" s="1"/>
      <c r="I17" s="1"/>
    </row>
    <row r="18" spans="1:9" x14ac:dyDescent="0.25">
      <c r="A18" s="1"/>
      <c r="B18" s="1"/>
      <c r="C18" s="6" t="s">
        <v>221</v>
      </c>
      <c r="D18" s="61" t="s">
        <v>176</v>
      </c>
      <c r="E18" s="62"/>
      <c r="F18" s="62"/>
      <c r="G18" s="63"/>
      <c r="H18" s="1"/>
      <c r="I18" s="1"/>
    </row>
    <row r="19" spans="1:9" x14ac:dyDescent="0.25">
      <c r="A19" s="1"/>
      <c r="B19" s="1"/>
      <c r="C19" s="6" t="s">
        <v>222</v>
      </c>
      <c r="D19" s="61" t="s">
        <v>177</v>
      </c>
      <c r="E19" s="62"/>
      <c r="F19" s="62"/>
      <c r="G19" s="63"/>
      <c r="H19" s="1"/>
      <c r="I19" s="1"/>
    </row>
    <row r="20" spans="1:9" x14ac:dyDescent="0.25">
      <c r="A20" s="1"/>
      <c r="B20" s="1"/>
      <c r="C20" s="6" t="s">
        <v>7</v>
      </c>
      <c r="D20" s="61" t="s">
        <v>10</v>
      </c>
      <c r="E20" s="62"/>
      <c r="F20" s="62"/>
      <c r="G20" s="63"/>
      <c r="H20" s="1"/>
      <c r="I20" s="1"/>
    </row>
    <row r="21" spans="1:9" x14ac:dyDescent="0.25">
      <c r="A21" s="1"/>
      <c r="B21" s="1"/>
      <c r="C21" s="6" t="s">
        <v>223</v>
      </c>
      <c r="D21" s="67" t="s">
        <v>17</v>
      </c>
      <c r="E21" s="68"/>
      <c r="F21" s="68"/>
      <c r="G21" s="69"/>
      <c r="H21" s="1"/>
      <c r="I21" s="1"/>
    </row>
    <row r="22" spans="1:9" x14ac:dyDescent="0.25">
      <c r="A22" s="1"/>
      <c r="B22" s="1"/>
      <c r="C22" s="6" t="s">
        <v>140</v>
      </c>
      <c r="D22" s="53" t="s">
        <v>173</v>
      </c>
      <c r="E22" s="54"/>
      <c r="F22" s="54"/>
      <c r="G22" s="55"/>
      <c r="H22" s="1"/>
      <c r="I22" s="1"/>
    </row>
    <row r="23" spans="1:9" x14ac:dyDescent="0.25">
      <c r="A23" s="1"/>
      <c r="B23" s="1"/>
      <c r="C23" s="6" t="s">
        <v>8</v>
      </c>
      <c r="D23" s="53" t="s">
        <v>258</v>
      </c>
      <c r="E23" s="54"/>
      <c r="F23" s="54"/>
      <c r="G23" s="55"/>
      <c r="H23" s="1"/>
      <c r="I23" s="1"/>
    </row>
    <row r="24" spans="1:9" x14ac:dyDescent="0.25">
      <c r="A24" s="1"/>
      <c r="B24" s="1"/>
      <c r="C24" s="6" t="s">
        <v>9</v>
      </c>
      <c r="D24" s="53" t="s">
        <v>55</v>
      </c>
      <c r="E24" s="54"/>
      <c r="F24" s="54"/>
      <c r="G24" s="55"/>
      <c r="H24" s="1"/>
      <c r="I24" s="1"/>
    </row>
    <row r="25" spans="1:9" x14ac:dyDescent="0.25">
      <c r="A25" s="1"/>
      <c r="B25" s="1"/>
      <c r="C25" s="6" t="s">
        <v>224</v>
      </c>
      <c r="D25" s="53" t="s">
        <v>141</v>
      </c>
      <c r="E25" s="54"/>
      <c r="F25" s="54"/>
      <c r="G25" s="55"/>
      <c r="H25" s="1"/>
      <c r="I25" s="1"/>
    </row>
    <row r="26" spans="1:9" x14ac:dyDescent="0.25">
      <c r="A26" s="1"/>
      <c r="B26" s="1"/>
      <c r="C26" s="6" t="s">
        <v>225</v>
      </c>
      <c r="D26" s="53" t="s">
        <v>142</v>
      </c>
      <c r="E26" s="54"/>
      <c r="F26" s="54"/>
      <c r="G26" s="55"/>
      <c r="H26" s="1"/>
      <c r="I26" s="1"/>
    </row>
    <row r="27" spans="1:9" x14ac:dyDescent="0.25">
      <c r="A27" s="1"/>
      <c r="B27" s="1"/>
      <c r="C27" s="6" t="s">
        <v>226</v>
      </c>
      <c r="D27" s="53" t="s">
        <v>143</v>
      </c>
      <c r="E27" s="54"/>
      <c r="F27" s="54"/>
      <c r="G27" s="55"/>
      <c r="H27" s="1"/>
      <c r="I27" s="1"/>
    </row>
    <row r="28" spans="1:9" x14ac:dyDescent="0.25">
      <c r="A28" s="1"/>
      <c r="B28" s="1"/>
      <c r="C28" s="6" t="s">
        <v>22</v>
      </c>
      <c r="D28" s="53" t="s">
        <v>56</v>
      </c>
      <c r="E28" s="54"/>
      <c r="F28" s="54"/>
      <c r="G28" s="55"/>
      <c r="H28" s="1"/>
      <c r="I28" s="1"/>
    </row>
    <row r="29" spans="1:9" x14ac:dyDescent="0.25">
      <c r="A29" s="1"/>
      <c r="B29" s="1"/>
      <c r="C29" s="6" t="s">
        <v>58</v>
      </c>
      <c r="D29" s="53" t="s">
        <v>57</v>
      </c>
      <c r="E29" s="54"/>
      <c r="F29" s="54"/>
      <c r="G29" s="55"/>
      <c r="H29" s="1"/>
      <c r="I29" s="1"/>
    </row>
    <row r="30" spans="1:9" x14ac:dyDescent="0.25">
      <c r="A30" s="1"/>
      <c r="B30" s="1"/>
      <c r="C30" s="6" t="s">
        <v>59</v>
      </c>
      <c r="D30" s="70" t="s">
        <v>11</v>
      </c>
      <c r="E30" s="71"/>
      <c r="F30" s="71"/>
      <c r="G30" s="72"/>
      <c r="H30" s="1"/>
      <c r="I30" s="1"/>
    </row>
    <row r="31" spans="1:9" x14ac:dyDescent="0.25">
      <c r="A31" s="1"/>
      <c r="B31" s="1"/>
      <c r="C31" s="6" t="s">
        <v>172</v>
      </c>
      <c r="D31" s="64" t="s">
        <v>207</v>
      </c>
      <c r="E31" s="65"/>
      <c r="F31" s="65"/>
      <c r="G31" s="66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algorithmName="SHA-512" hashValue="c310jHu+Xc0MBcRtCh1mZCo850WDn/BiG4V+6WcTzZnt5LMLKFh4Ic74oxLAH9FPwo6vGIArPgycWPXmujVxdA==" saltValue="FBfoIH1yTZoLiq9fXHF5Dg==" spinCount="100000" sheet="1" objects="1" scenarios="1"/>
  <mergeCells count="22">
    <mergeCell ref="D31:G31"/>
    <mergeCell ref="D21:G21"/>
    <mergeCell ref="D24:G24"/>
    <mergeCell ref="D25:G25"/>
    <mergeCell ref="D28:G28"/>
    <mergeCell ref="D26:G26"/>
    <mergeCell ref="D27:G27"/>
    <mergeCell ref="D23:G23"/>
    <mergeCell ref="D30:G30"/>
    <mergeCell ref="D29:G29"/>
    <mergeCell ref="D6:G7"/>
    <mergeCell ref="D22:G22"/>
    <mergeCell ref="D11:G11"/>
    <mergeCell ref="D8:G8"/>
    <mergeCell ref="D15:G15"/>
    <mergeCell ref="D16:G16"/>
    <mergeCell ref="D13:G13"/>
    <mergeCell ref="D17:G17"/>
    <mergeCell ref="D18:G18"/>
    <mergeCell ref="D19:G19"/>
    <mergeCell ref="D20:G20"/>
    <mergeCell ref="D14:G14"/>
  </mergeCells>
  <hyperlinks>
    <hyperlink ref="D14:G14" location="'Fane 2.2. Økonomisk ramme 2021'!A1" display="Samlet økonomisk ramme for 2021"/>
    <hyperlink ref="D25:G25" location="'Fane 10.1. Varige tillæg'!A1" display="Varige tillæg"/>
    <hyperlink ref="D28:G28" location="'Fane 12. Tilknyttet aktivitet'!A1" display="Tilknyttet aktivitet"/>
    <hyperlink ref="D29:G29" location="'Fane 13. Bortfald'!A1" display="Bortfald"/>
    <hyperlink ref="D13:G13" location="'Fane 2.1. Økonomisk ramme 2020'!A1" display="Samlet økonomisk ramme for 2020"/>
    <hyperlink ref="D16:G16" location="'Fane 2.4. Økonomisk ramme 2023'!A1" display="Samlet økonomisk ramme for 2023"/>
    <hyperlink ref="D15:G15" location="'Fane 2.3. Økonomisk ramme 2022'!A1" display="Samlet økonomisk ramme for 2022"/>
    <hyperlink ref="D21:G21" location="'Fane 6. Ikke-påvirkelige omk.'!A1" display="Ikke-påvirkelige omkostninger"/>
    <hyperlink ref="D22:G22" location="'Fane 7. Kontrol af ØR2018'!A1" display="Kontrol af den økonomiske ramme for 2018"/>
    <hyperlink ref="D24:G24" location="'Fane 9. Anlægsprojekter'!A1" display="Anlægsprojekter"/>
    <hyperlink ref="D31:G31" location="'Fane 15. Nøgletal'!A1" display="Nøgletal"/>
    <hyperlink ref="D17:G17" location="'Fane 3. Omkostninger i ØR2019'!A1" display="Omkostninger i ØR2019"/>
    <hyperlink ref="D26:G26" location="'Fane 10.2. Engangstillæg'!A1" display="Engangstillæg"/>
    <hyperlink ref="D27:G27" location="'Fane 11. Periodevise driftsomk.'!A1" display="Periodevise driftsomkostninger"/>
    <hyperlink ref="D19:G19" location="'Fane 4.2. Gen. krav - anlæg'!A1" display="Generelt effektiviseringskrav på anlæg"/>
    <hyperlink ref="D30:G30" location="'Fane 14. Hist. over-underdæk.'!A1" display="Historisk over- eller underdækning"/>
    <hyperlink ref="D20:G20" location="'Fane 5. Individuelt eff. krav'!A1" display="Individuelt effektiviseringskrav"/>
    <hyperlink ref="D18:G18" location="'Fane 4.1. Gen. krav - drift'!A1" display="Generelt effektiviseringskrav på drift"/>
    <hyperlink ref="D23" location="'Fane 8. Korrektioner'!A1" display="Korrektion af tidligere rammer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52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7.7109375" style="2" customWidth="1"/>
    <col min="3" max="3" width="24.85546875" style="2" customWidth="1"/>
    <col min="4" max="4" width="3.28515625" style="2" customWidth="1"/>
    <col min="5" max="5" width="7.85546875" style="2" customWidth="1"/>
    <col min="6" max="6" width="4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73" t="s">
        <v>233</v>
      </c>
      <c r="C3" s="73"/>
      <c r="D3" s="73"/>
      <c r="E3" s="1"/>
      <c r="F3" s="1"/>
    </row>
    <row r="4" spans="1:6" ht="15" customHeight="1" x14ac:dyDescent="0.25">
      <c r="A4" s="1"/>
      <c r="B4" s="73"/>
      <c r="C4" s="73"/>
      <c r="D4" s="73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93" t="s">
        <v>66</v>
      </c>
      <c r="C8" s="94"/>
      <c r="D8" s="95"/>
      <c r="E8" s="1"/>
      <c r="F8" s="1"/>
    </row>
    <row r="9" spans="1:6" ht="15" customHeight="1" x14ac:dyDescent="0.25">
      <c r="A9" s="1"/>
      <c r="B9" s="38" t="s">
        <v>49</v>
      </c>
      <c r="C9" s="11" t="s">
        <v>67</v>
      </c>
      <c r="D9" s="11"/>
      <c r="E9" s="1"/>
      <c r="F9" s="1"/>
    </row>
    <row r="10" spans="1:6" x14ac:dyDescent="0.25">
      <c r="A10" s="1"/>
      <c r="B10" s="47" t="s">
        <v>267</v>
      </c>
      <c r="C10" s="9">
        <v>7828194</v>
      </c>
      <c r="D10" s="14" t="s">
        <v>3</v>
      </c>
      <c r="E10" s="1"/>
      <c r="F10" s="1"/>
    </row>
    <row r="11" spans="1:6" x14ac:dyDescent="0.25">
      <c r="A11" s="1"/>
      <c r="B11" s="47" t="s">
        <v>268</v>
      </c>
      <c r="C11" s="9">
        <v>155907</v>
      </c>
      <c r="D11" s="14" t="s">
        <v>3</v>
      </c>
      <c r="E11" s="1"/>
      <c r="F11" s="1"/>
    </row>
    <row r="12" spans="1:6" x14ac:dyDescent="0.25">
      <c r="A12" s="1"/>
      <c r="B12" s="47" t="s">
        <v>269</v>
      </c>
      <c r="C12" s="9">
        <v>1058833</v>
      </c>
      <c r="D12" s="14" t="s">
        <v>3</v>
      </c>
      <c r="E12" s="1"/>
      <c r="F12" s="1"/>
    </row>
    <row r="13" spans="1:6" x14ac:dyDescent="0.25">
      <c r="A13" s="1"/>
      <c r="B13" s="47" t="s">
        <v>270</v>
      </c>
      <c r="C13" s="9">
        <v>648031</v>
      </c>
      <c r="D13" s="14" t="s">
        <v>3</v>
      </c>
      <c r="E13" s="1"/>
      <c r="F13" s="1"/>
    </row>
    <row r="14" spans="1:6" x14ac:dyDescent="0.25">
      <c r="A14" s="1"/>
      <c r="B14" s="47" t="s">
        <v>271</v>
      </c>
      <c r="C14" s="9">
        <v>12270651</v>
      </c>
      <c r="D14" s="14" t="s">
        <v>3</v>
      </c>
      <c r="E14" s="1"/>
      <c r="F14" s="1"/>
    </row>
    <row r="15" spans="1:6" x14ac:dyDescent="0.25">
      <c r="A15" s="1"/>
      <c r="B15" s="45" t="s">
        <v>68</v>
      </c>
      <c r="C15" s="12">
        <f>SUM(C10:C14)</f>
        <v>21961616</v>
      </c>
      <c r="D15" s="13" t="s">
        <v>3</v>
      </c>
      <c r="E15" s="1"/>
      <c r="F15" s="1"/>
    </row>
    <row r="16" spans="1:6" x14ac:dyDescent="0.25">
      <c r="A16" s="1"/>
      <c r="B16" s="45" t="s">
        <v>69</v>
      </c>
      <c r="C16" s="12">
        <f>C15*(1+'Fane 15. Nøgletal'!C12)^2</f>
        <v>22835426.753953442</v>
      </c>
      <c r="D16" s="13" t="s">
        <v>3</v>
      </c>
      <c r="E16" s="1"/>
      <c r="F16" s="1"/>
    </row>
    <row r="17" spans="1:6" x14ac:dyDescent="0.25">
      <c r="A17" s="1"/>
      <c r="B17" s="16"/>
      <c r="C17" s="15"/>
      <c r="D17" s="15"/>
      <c r="E17" s="1"/>
      <c r="F17" s="1"/>
    </row>
    <row r="18" spans="1:6" x14ac:dyDescent="0.25">
      <c r="A18" s="1"/>
      <c r="B18" s="16"/>
      <c r="C18" s="15"/>
      <c r="D18" s="15"/>
      <c r="E18" s="1"/>
      <c r="F18" s="1"/>
    </row>
    <row r="19" spans="1:6" x14ac:dyDescent="0.25">
      <c r="A19" s="1"/>
      <c r="B19" s="93" t="s">
        <v>244</v>
      </c>
      <c r="C19" s="94"/>
      <c r="D19" s="95"/>
      <c r="E19" s="1"/>
      <c r="F19" s="1"/>
    </row>
    <row r="20" spans="1:6" x14ac:dyDescent="0.25">
      <c r="A20" s="1"/>
      <c r="B20" s="47" t="s">
        <v>193</v>
      </c>
      <c r="C20" s="9">
        <v>0</v>
      </c>
      <c r="D20" s="14" t="s">
        <v>3</v>
      </c>
      <c r="E20" s="1"/>
      <c r="F20" s="1"/>
    </row>
    <row r="21" spans="1:6" x14ac:dyDescent="0.25">
      <c r="A21" s="1"/>
      <c r="B21" s="47" t="s">
        <v>194</v>
      </c>
      <c r="C21" s="9">
        <v>0</v>
      </c>
      <c r="D21" s="14" t="s">
        <v>3</v>
      </c>
      <c r="E21" s="1"/>
      <c r="F21" s="1"/>
    </row>
    <row r="22" spans="1:6" x14ac:dyDescent="0.25">
      <c r="A22" s="1"/>
      <c r="B22" s="47" t="s">
        <v>195</v>
      </c>
      <c r="C22" s="9">
        <v>0</v>
      </c>
      <c r="D22" s="14" t="s">
        <v>3</v>
      </c>
      <c r="E22" s="1"/>
      <c r="F22" s="1"/>
    </row>
    <row r="23" spans="1:6" x14ac:dyDescent="0.25">
      <c r="A23" s="1"/>
      <c r="B23" s="47" t="s">
        <v>196</v>
      </c>
      <c r="C23" s="9">
        <v>0</v>
      </c>
      <c r="D23" s="14" t="s">
        <v>3</v>
      </c>
      <c r="E23" s="1"/>
      <c r="F23" s="1"/>
    </row>
    <row r="24" spans="1:6" x14ac:dyDescent="0.25">
      <c r="A24" s="1"/>
      <c r="B24" s="93"/>
      <c r="C24" s="94"/>
      <c r="D24" s="95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93" t="s">
        <v>192</v>
      </c>
      <c r="C27" s="94"/>
      <c r="D27" s="95"/>
      <c r="E27" s="1"/>
      <c r="F27" s="1"/>
    </row>
    <row r="28" spans="1:6" x14ac:dyDescent="0.25">
      <c r="A28" s="1"/>
      <c r="B28" s="47" t="s">
        <v>193</v>
      </c>
      <c r="C28" s="9">
        <v>0</v>
      </c>
      <c r="D28" s="14" t="s">
        <v>3</v>
      </c>
      <c r="E28" s="1"/>
      <c r="F28" s="1"/>
    </row>
    <row r="29" spans="1:6" x14ac:dyDescent="0.25">
      <c r="A29" s="1"/>
      <c r="B29" s="47" t="s">
        <v>194</v>
      </c>
      <c r="C29" s="9">
        <v>0</v>
      </c>
      <c r="D29" s="14" t="s">
        <v>3</v>
      </c>
      <c r="E29" s="1"/>
      <c r="F29" s="1"/>
    </row>
    <row r="30" spans="1:6" x14ac:dyDescent="0.25">
      <c r="A30" s="1"/>
      <c r="B30" s="47" t="s">
        <v>195</v>
      </c>
      <c r="C30" s="9">
        <v>0</v>
      </c>
      <c r="D30" s="14" t="s">
        <v>3</v>
      </c>
      <c r="E30" s="1"/>
      <c r="F30" s="1"/>
    </row>
    <row r="31" spans="1:6" x14ac:dyDescent="0.25">
      <c r="A31" s="1"/>
      <c r="B31" s="47" t="s">
        <v>196</v>
      </c>
      <c r="C31" s="9">
        <v>0</v>
      </c>
      <c r="D31" s="14" t="s">
        <v>3</v>
      </c>
      <c r="E31" s="1"/>
      <c r="F31" s="1"/>
    </row>
    <row r="32" spans="1:6" x14ac:dyDescent="0.25">
      <c r="A32" s="1"/>
      <c r="B32" s="93"/>
      <c r="C32" s="94"/>
      <c r="D32" s="95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</sheetData>
  <sheetProtection algorithmName="SHA-512" hashValue="VYg41NVAGNSpp3f7yiaXR2i4Pzf2RLCRezf46BzwF8dEX/yicPHbshg3UZYVLUXtkBhvmKpaqQx4xlmnY6ROyw==" saltValue="Pm4dQ9gM6pXdeeqe4edXew==" spinCount="100000" sheet="1" objects="1" scenarios="1"/>
  <mergeCells count="6">
    <mergeCell ref="B32:D32"/>
    <mergeCell ref="B3:D4"/>
    <mergeCell ref="B8:D8"/>
    <mergeCell ref="B19:D19"/>
    <mergeCell ref="B27:D27"/>
    <mergeCell ref="B24:D24"/>
  </mergeCells>
  <pageMargins left="0.75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G48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710937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84" t="s">
        <v>232</v>
      </c>
      <c r="C3" s="84"/>
      <c r="D3" s="84"/>
      <c r="E3" s="84"/>
      <c r="F3" s="84"/>
      <c r="G3" s="1"/>
    </row>
    <row r="4" spans="1:7" ht="15" customHeight="1" x14ac:dyDescent="0.25">
      <c r="A4" s="1"/>
      <c r="B4" s="84"/>
      <c r="C4" s="84"/>
      <c r="D4" s="84"/>
      <c r="E4" s="84"/>
      <c r="F4" s="84"/>
      <c r="G4" s="1"/>
    </row>
    <row r="5" spans="1:7" ht="15" customHeight="1" x14ac:dyDescent="0.25">
      <c r="A5" s="1"/>
      <c r="B5" s="43"/>
      <c r="C5" s="43"/>
      <c r="D5" s="43"/>
      <c r="E5" s="43"/>
      <c r="F5" s="43"/>
      <c r="G5" s="1"/>
    </row>
    <row r="6" spans="1:7" ht="15" customHeight="1" x14ac:dyDescent="0.25">
      <c r="A6" s="1"/>
      <c r="B6" s="43"/>
      <c r="C6" s="43"/>
      <c r="D6" s="43"/>
      <c r="E6" s="43"/>
      <c r="F6" s="43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3" t="s">
        <v>179</v>
      </c>
      <c r="C8" s="94"/>
      <c r="D8" s="94"/>
      <c r="E8" s="94"/>
      <c r="F8" s="95"/>
      <c r="G8" s="1"/>
    </row>
    <row r="9" spans="1:7" x14ac:dyDescent="0.25">
      <c r="A9" s="1"/>
      <c r="B9" s="102" t="s">
        <v>180</v>
      </c>
      <c r="C9" s="103"/>
      <c r="D9" s="104"/>
      <c r="E9" s="9">
        <v>265121093.51469612</v>
      </c>
      <c r="F9" s="14" t="s">
        <v>3</v>
      </c>
      <c r="G9" s="1"/>
    </row>
    <row r="10" spans="1:7" x14ac:dyDescent="0.25">
      <c r="A10" s="1"/>
      <c r="B10" s="102" t="s">
        <v>181</v>
      </c>
      <c r="C10" s="103"/>
      <c r="D10" s="104"/>
      <c r="E10" s="9">
        <v>257906593</v>
      </c>
      <c r="F10" s="14" t="s">
        <v>3</v>
      </c>
      <c r="G10" s="1"/>
    </row>
    <row r="11" spans="1:7" x14ac:dyDescent="0.25">
      <c r="A11" s="1"/>
      <c r="B11" s="102" t="s">
        <v>50</v>
      </c>
      <c r="C11" s="103"/>
      <c r="D11" s="104"/>
      <c r="E11" s="9">
        <v>0</v>
      </c>
      <c r="F11" s="14" t="s">
        <v>3</v>
      </c>
      <c r="G11" s="1"/>
    </row>
    <row r="12" spans="1:7" x14ac:dyDescent="0.25">
      <c r="A12" s="1"/>
      <c r="B12" s="96" t="s">
        <v>182</v>
      </c>
      <c r="C12" s="97"/>
      <c r="D12" s="98"/>
      <c r="E12" s="10">
        <f>E9-(E10-E11)</f>
        <v>7214500.5146961212</v>
      </c>
      <c r="F12" s="17" t="s">
        <v>3</v>
      </c>
      <c r="G12" s="1"/>
    </row>
    <row r="13" spans="1:7" x14ac:dyDescent="0.25">
      <c r="A13" s="1"/>
      <c r="B13" s="45"/>
      <c r="C13" s="46"/>
      <c r="D13" s="46"/>
      <c r="E13" s="46"/>
      <c r="F13" s="22"/>
      <c r="G13" s="1"/>
    </row>
    <row r="14" spans="1:7" ht="27.75" customHeight="1" x14ac:dyDescent="0.25">
      <c r="A14" s="1"/>
      <c r="B14" s="75" t="s">
        <v>209</v>
      </c>
      <c r="C14" s="76"/>
      <c r="D14" s="76"/>
      <c r="E14" s="76"/>
      <c r="F14" s="77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93" t="s">
        <v>74</v>
      </c>
      <c r="C17" s="94"/>
      <c r="D17" s="94"/>
      <c r="E17" s="94"/>
      <c r="F17" s="95"/>
      <c r="G17" s="1"/>
    </row>
    <row r="18" spans="1:7" x14ac:dyDescent="0.25">
      <c r="A18" s="1"/>
      <c r="B18" s="102" t="s">
        <v>75</v>
      </c>
      <c r="C18" s="103"/>
      <c r="D18" s="104"/>
      <c r="E18" s="9">
        <v>280591182.51070982</v>
      </c>
      <c r="F18" s="14" t="s">
        <v>3</v>
      </c>
      <c r="G18" s="1"/>
    </row>
    <row r="19" spans="1:7" x14ac:dyDescent="0.25">
      <c r="A19" s="1"/>
      <c r="B19" s="102" t="s">
        <v>76</v>
      </c>
      <c r="C19" s="103"/>
      <c r="D19" s="104"/>
      <c r="E19" s="9">
        <v>285118230</v>
      </c>
      <c r="F19" s="14" t="s">
        <v>3</v>
      </c>
      <c r="G19" s="1"/>
    </row>
    <row r="20" spans="1:7" x14ac:dyDescent="0.25">
      <c r="A20" s="1"/>
      <c r="B20" s="102" t="s">
        <v>50</v>
      </c>
      <c r="C20" s="103"/>
      <c r="D20" s="104"/>
      <c r="E20" s="9">
        <v>1017581</v>
      </c>
      <c r="F20" s="14" t="s">
        <v>3</v>
      </c>
      <c r="G20" s="1"/>
    </row>
    <row r="21" spans="1:7" x14ac:dyDescent="0.25">
      <c r="A21" s="1"/>
      <c r="B21" s="96" t="s">
        <v>77</v>
      </c>
      <c r="C21" s="97"/>
      <c r="D21" s="98"/>
      <c r="E21" s="10">
        <f>E18-(E19-E20)</f>
        <v>-3509466.4892901778</v>
      </c>
      <c r="F21" s="17" t="s">
        <v>3</v>
      </c>
      <c r="G21" s="1"/>
    </row>
    <row r="22" spans="1:7" x14ac:dyDescent="0.25">
      <c r="A22" s="1"/>
      <c r="B22" s="45"/>
      <c r="C22" s="46"/>
      <c r="D22" s="46"/>
      <c r="E22" s="46"/>
      <c r="F22" s="22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93" t="s">
        <v>201</v>
      </c>
      <c r="C25" s="94"/>
      <c r="D25" s="94"/>
      <c r="E25" s="94"/>
      <c r="F25" s="95"/>
      <c r="G25" s="1"/>
    </row>
    <row r="26" spans="1:7" x14ac:dyDescent="0.25">
      <c r="A26" s="1"/>
      <c r="B26" s="111" t="s">
        <v>171</v>
      </c>
      <c r="C26" s="112"/>
      <c r="D26" s="113"/>
      <c r="E26" s="9">
        <f>IF(E12+E21&lt;0,E12+E21,0)</f>
        <v>0</v>
      </c>
      <c r="F26" s="14" t="s">
        <v>3</v>
      </c>
      <c r="G26" s="1"/>
    </row>
    <row r="27" spans="1:7" x14ac:dyDescent="0.25">
      <c r="A27" s="1"/>
      <c r="B27" s="111" t="s">
        <v>200</v>
      </c>
      <c r="C27" s="112"/>
      <c r="D27" s="113"/>
      <c r="E27" s="9">
        <v>4</v>
      </c>
      <c r="F27" s="14" t="s">
        <v>28</v>
      </c>
      <c r="G27" s="1"/>
    </row>
    <row r="28" spans="1:7" x14ac:dyDescent="0.25">
      <c r="A28" s="1"/>
      <c r="B28" s="96" t="s">
        <v>210</v>
      </c>
      <c r="C28" s="97"/>
      <c r="D28" s="98"/>
      <c r="E28" s="10">
        <f>E26/E27</f>
        <v>0</v>
      </c>
      <c r="F28" s="17" t="s">
        <v>3</v>
      </c>
      <c r="G28" s="1"/>
    </row>
    <row r="29" spans="1:7" x14ac:dyDescent="0.25">
      <c r="A29" s="1"/>
      <c r="B29" s="114"/>
      <c r="C29" s="115"/>
      <c r="D29" s="115"/>
      <c r="E29" s="115"/>
      <c r="F29" s="116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</sheetData>
  <sheetProtection algorithmName="SHA-512" hashValue="W2WxUjLlGLhpQploqPFrzRsU9ejbevEc5PuTAFdt3Smi0qkEE3xAsl0TmKUbP2uZpEw9gL5TSxlxZ8s4PMzsHg==" saltValue="gRQHk7+i+eVgo9v+l6bcMQ==" spinCount="100000" sheet="1" objects="1" scenarios="1"/>
  <mergeCells count="17">
    <mergeCell ref="B21:D21"/>
    <mergeCell ref="B3:F4"/>
    <mergeCell ref="B17:F17"/>
    <mergeCell ref="B18:D18"/>
    <mergeCell ref="B19:D19"/>
    <mergeCell ref="B20:D20"/>
    <mergeCell ref="B8:F8"/>
    <mergeCell ref="B9:D9"/>
    <mergeCell ref="B10:D10"/>
    <mergeCell ref="B11:D11"/>
    <mergeCell ref="B12:D12"/>
    <mergeCell ref="B14:F14"/>
    <mergeCell ref="B25:F25"/>
    <mergeCell ref="B26:D26"/>
    <mergeCell ref="B27:D27"/>
    <mergeCell ref="B28:D28"/>
    <mergeCell ref="B29:F29"/>
  </mergeCells>
  <pageMargins left="0.79166666666666663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G48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710937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84" t="s">
        <v>260</v>
      </c>
      <c r="C3" s="84"/>
      <c r="D3" s="84"/>
      <c r="E3" s="84"/>
      <c r="F3" s="84"/>
      <c r="G3" s="1"/>
    </row>
    <row r="4" spans="1:7" ht="15" customHeight="1" x14ac:dyDescent="0.25">
      <c r="A4" s="1"/>
      <c r="B4" s="84"/>
      <c r="C4" s="84"/>
      <c r="D4" s="84"/>
      <c r="E4" s="84"/>
      <c r="F4" s="84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15" customHeight="1" x14ac:dyDescent="0.25">
      <c r="A9" s="1"/>
      <c r="B9" s="93" t="s">
        <v>174</v>
      </c>
      <c r="C9" s="94"/>
      <c r="D9" s="94"/>
      <c r="E9" s="94"/>
      <c r="F9" s="94"/>
      <c r="G9" s="1"/>
    </row>
    <row r="10" spans="1:7" x14ac:dyDescent="0.25">
      <c r="A10" s="1"/>
      <c r="B10" s="75" t="s">
        <v>197</v>
      </c>
      <c r="C10" s="76"/>
      <c r="D10" s="77"/>
      <c r="E10" s="7">
        <v>0</v>
      </c>
      <c r="F10" s="8" t="s">
        <v>3</v>
      </c>
      <c r="G10" s="1"/>
    </row>
    <row r="11" spans="1:7" x14ac:dyDescent="0.25">
      <c r="A11" s="1"/>
      <c r="B11" s="102" t="s">
        <v>198</v>
      </c>
      <c r="C11" s="103"/>
      <c r="D11" s="104"/>
      <c r="E11" s="7">
        <v>0</v>
      </c>
      <c r="F11" s="8" t="s">
        <v>3</v>
      </c>
      <c r="G11" s="1"/>
    </row>
    <row r="12" spans="1:7" x14ac:dyDescent="0.25">
      <c r="A12" s="1"/>
      <c r="B12" s="96" t="s">
        <v>199</v>
      </c>
      <c r="C12" s="97"/>
      <c r="D12" s="98"/>
      <c r="E12" s="10">
        <f>E11-E10</f>
        <v>0</v>
      </c>
      <c r="F12" s="11" t="s">
        <v>3</v>
      </c>
      <c r="G12" s="1"/>
    </row>
    <row r="13" spans="1:7" x14ac:dyDescent="0.25">
      <c r="A13" s="1"/>
      <c r="B13" s="93" t="s">
        <v>175</v>
      </c>
      <c r="C13" s="94"/>
      <c r="D13" s="94"/>
      <c r="E13" s="94"/>
      <c r="F13" s="94"/>
      <c r="G13" s="1"/>
    </row>
    <row r="14" spans="1:7" x14ac:dyDescent="0.25">
      <c r="A14" s="1"/>
      <c r="B14" s="102" t="s">
        <v>218</v>
      </c>
      <c r="C14" s="103"/>
      <c r="D14" s="104"/>
      <c r="E14" s="9">
        <v>0</v>
      </c>
      <c r="F14" s="8" t="s">
        <v>3</v>
      </c>
      <c r="G14" s="1"/>
    </row>
    <row r="15" spans="1:7" x14ac:dyDescent="0.25">
      <c r="A15" s="1"/>
      <c r="B15" s="75" t="s">
        <v>219</v>
      </c>
      <c r="C15" s="76"/>
      <c r="D15" s="77"/>
      <c r="E15" s="9">
        <v>0</v>
      </c>
      <c r="F15" s="8" t="s">
        <v>3</v>
      </c>
      <c r="G15" s="1"/>
    </row>
    <row r="16" spans="1:7" x14ac:dyDescent="0.25">
      <c r="A16" s="1"/>
      <c r="B16" s="96" t="s">
        <v>199</v>
      </c>
      <c r="C16" s="97"/>
      <c r="D16" s="98"/>
      <c r="E16" s="10">
        <f>E15-E14</f>
        <v>0</v>
      </c>
      <c r="F16" s="11" t="s">
        <v>3</v>
      </c>
      <c r="G16" s="1"/>
    </row>
    <row r="17" spans="1:7" ht="15" customHeight="1" x14ac:dyDescent="0.25">
      <c r="A17" s="1"/>
      <c r="B17" s="93" t="s">
        <v>170</v>
      </c>
      <c r="C17" s="94"/>
      <c r="D17" s="94"/>
      <c r="E17" s="94"/>
      <c r="F17" s="94"/>
      <c r="G17" s="1"/>
    </row>
    <row r="18" spans="1:7" ht="28.15" customHeight="1" x14ac:dyDescent="0.25">
      <c r="A18" s="1"/>
      <c r="B18" s="75" t="s">
        <v>266</v>
      </c>
      <c r="C18" s="76"/>
      <c r="D18" s="77"/>
      <c r="E18" s="9">
        <v>0</v>
      </c>
      <c r="F18" s="8" t="s">
        <v>3</v>
      </c>
      <c r="G18" s="1"/>
    </row>
    <row r="19" spans="1:7" ht="29.25" customHeight="1" x14ac:dyDescent="0.25">
      <c r="A19" s="1"/>
      <c r="B19" s="78" t="s">
        <v>178</v>
      </c>
      <c r="C19" s="79"/>
      <c r="D19" s="80"/>
      <c r="E19" s="10">
        <f>IF('Fane 3. Omkostninger i ØR2019'!E28-'Fane 3. Omkostninger i ØR2019'!E28/(1+'Fane 15. Nøgletal'!C11)^2+E18&lt;0,-('Fane 3. Omkostninger i ØR2019'!E28-'Fane 3. Omkostninger i ØR2019'!E28/(1+'Fane 15. Nøgletal'!C11)^2+E18),0)</f>
        <v>0</v>
      </c>
      <c r="F19" s="11" t="s">
        <v>3</v>
      </c>
      <c r="G19" s="1"/>
    </row>
    <row r="20" spans="1:7" x14ac:dyDescent="0.25">
      <c r="A20" s="1"/>
      <c r="B20" s="45" t="s">
        <v>190</v>
      </c>
      <c r="C20" s="46"/>
      <c r="D20" s="46"/>
      <c r="E20" s="12">
        <f>E12+E16+E19</f>
        <v>0</v>
      </c>
      <c r="F20" s="13" t="s">
        <v>3</v>
      </c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</sheetData>
  <sheetProtection algorithmName="SHA-512" hashValue="W3ecKsq8+msyO5hKBKAo2+aBLFypPM2KxpBX8CgAd3rUTQ3GxhI80bDxS+0nncWTZ4yd6adAlhIieQ4HKOKe4Q==" saltValue="6sAprGqFMrL+tU1sYrYcVA==" spinCount="100000" sheet="1" objects="1" scenarios="1"/>
  <mergeCells count="12">
    <mergeCell ref="B13:F13"/>
    <mergeCell ref="B17:F17"/>
    <mergeCell ref="B16:D16"/>
    <mergeCell ref="B19:D19"/>
    <mergeCell ref="B3:F4"/>
    <mergeCell ref="B10:D10"/>
    <mergeCell ref="B11:D11"/>
    <mergeCell ref="B14:D14"/>
    <mergeCell ref="B15:D15"/>
    <mergeCell ref="B9:F9"/>
    <mergeCell ref="B12:D12"/>
    <mergeCell ref="B18:D18"/>
  </mergeCells>
  <pageMargins left="0.79166666666666663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64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3" t="s">
        <v>261</v>
      </c>
      <c r="C3" s="73"/>
      <c r="D3" s="73"/>
      <c r="E3" s="73"/>
      <c r="F3" s="73"/>
      <c r="G3" s="73"/>
      <c r="H3" s="73"/>
      <c r="I3" s="1"/>
    </row>
    <row r="4" spans="1:9" ht="15" customHeight="1" x14ac:dyDescent="0.25">
      <c r="A4" s="1"/>
      <c r="B4" s="73"/>
      <c r="C4" s="73"/>
      <c r="D4" s="73"/>
      <c r="E4" s="73"/>
      <c r="F4" s="73"/>
      <c r="G4" s="73"/>
      <c r="H4" s="73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3" t="s">
        <v>262</v>
      </c>
      <c r="C8" s="94"/>
      <c r="D8" s="94"/>
      <c r="E8" s="94"/>
      <c r="F8" s="94"/>
      <c r="G8" s="94"/>
      <c r="H8" s="95"/>
      <c r="I8" s="1"/>
    </row>
    <row r="9" spans="1:9" ht="39.75" customHeight="1" x14ac:dyDescent="0.25">
      <c r="A9" s="1"/>
      <c r="B9" s="21" t="s">
        <v>0</v>
      </c>
      <c r="C9" s="21" t="s">
        <v>1</v>
      </c>
      <c r="D9" s="21" t="s">
        <v>14</v>
      </c>
      <c r="E9" s="11" t="s">
        <v>2</v>
      </c>
      <c r="F9" s="11" t="s">
        <v>16</v>
      </c>
      <c r="G9" s="11" t="s">
        <v>47</v>
      </c>
      <c r="H9" s="42"/>
      <c r="I9" s="1"/>
    </row>
    <row r="10" spans="1:9" x14ac:dyDescent="0.25">
      <c r="A10" s="1"/>
      <c r="B10" s="51" t="s">
        <v>274</v>
      </c>
      <c r="C10" s="126">
        <v>75</v>
      </c>
      <c r="D10" s="9">
        <v>333608.09000000003</v>
      </c>
      <c r="E10" s="9">
        <f>IFERROR(D10/C10,0)</f>
        <v>4448.1078666666672</v>
      </c>
      <c r="F10" s="9">
        <v>0</v>
      </c>
      <c r="G10" s="9">
        <v>0</v>
      </c>
      <c r="H10" s="14" t="s">
        <v>3</v>
      </c>
      <c r="I10" s="1"/>
    </row>
    <row r="11" spans="1:9" ht="26.25" x14ac:dyDescent="0.25">
      <c r="A11" s="1"/>
      <c r="B11" s="51" t="s">
        <v>275</v>
      </c>
      <c r="C11" s="126">
        <v>75</v>
      </c>
      <c r="D11" s="9">
        <v>4953682.97</v>
      </c>
      <c r="E11" s="9">
        <f t="shared" ref="E11:E26" si="0">IFERROR(D11/C11,0)</f>
        <v>66049.106266666669</v>
      </c>
      <c r="F11" s="9">
        <v>0</v>
      </c>
      <c r="G11" s="9">
        <v>0</v>
      </c>
      <c r="H11" s="14" t="s">
        <v>3</v>
      </c>
      <c r="I11" s="1"/>
    </row>
    <row r="12" spans="1:9" ht="26.25" x14ac:dyDescent="0.25">
      <c r="A12" s="1"/>
      <c r="B12" s="51" t="s">
        <v>276</v>
      </c>
      <c r="C12" s="126">
        <v>75</v>
      </c>
      <c r="D12" s="9">
        <v>2187188.54</v>
      </c>
      <c r="E12" s="9">
        <f t="shared" si="0"/>
        <v>29162.513866666668</v>
      </c>
      <c r="F12" s="9">
        <v>0</v>
      </c>
      <c r="G12" s="9">
        <v>0</v>
      </c>
      <c r="H12" s="14" t="s">
        <v>3</v>
      </c>
      <c r="I12" s="1"/>
    </row>
    <row r="13" spans="1:9" x14ac:dyDescent="0.25">
      <c r="A13" s="1"/>
      <c r="B13" s="51" t="s">
        <v>277</v>
      </c>
      <c r="C13" s="126">
        <v>75</v>
      </c>
      <c r="D13" s="9">
        <v>1168713.92</v>
      </c>
      <c r="E13" s="9">
        <f t="shared" si="0"/>
        <v>15582.852266666665</v>
      </c>
      <c r="F13" s="9">
        <v>0</v>
      </c>
      <c r="G13" s="9">
        <v>0</v>
      </c>
      <c r="H13" s="14" t="s">
        <v>3</v>
      </c>
      <c r="I13" s="1"/>
    </row>
    <row r="14" spans="1:9" x14ac:dyDescent="0.25">
      <c r="A14" s="1"/>
      <c r="B14" s="51" t="s">
        <v>278</v>
      </c>
      <c r="C14" s="126">
        <v>75</v>
      </c>
      <c r="D14" s="9">
        <v>617664.38</v>
      </c>
      <c r="E14" s="9">
        <f t="shared" si="0"/>
        <v>8235.525066666667</v>
      </c>
      <c r="F14" s="9">
        <v>0</v>
      </c>
      <c r="G14" s="9">
        <v>0</v>
      </c>
      <c r="H14" s="14" t="s">
        <v>3</v>
      </c>
      <c r="I14" s="1"/>
    </row>
    <row r="15" spans="1:9" x14ac:dyDescent="0.25">
      <c r="A15" s="1"/>
      <c r="B15" s="51" t="s">
        <v>279</v>
      </c>
      <c r="C15" s="126">
        <v>50</v>
      </c>
      <c r="D15" s="9">
        <v>1316225.56</v>
      </c>
      <c r="E15" s="9">
        <f t="shared" si="0"/>
        <v>26324.511200000001</v>
      </c>
      <c r="F15" s="9">
        <v>0</v>
      </c>
      <c r="G15" s="9">
        <v>0</v>
      </c>
      <c r="H15" s="14" t="s">
        <v>3</v>
      </c>
      <c r="I15" s="1"/>
    </row>
    <row r="16" spans="1:9" x14ac:dyDescent="0.25">
      <c r="A16" s="1"/>
      <c r="B16" s="51" t="s">
        <v>280</v>
      </c>
      <c r="C16" s="126">
        <v>75</v>
      </c>
      <c r="D16" s="9">
        <v>575433.55000000005</v>
      </c>
      <c r="E16" s="9">
        <f t="shared" si="0"/>
        <v>7672.4473333333335</v>
      </c>
      <c r="F16" s="9">
        <v>0</v>
      </c>
      <c r="G16" s="9">
        <v>0</v>
      </c>
      <c r="H16" s="14" t="s">
        <v>3</v>
      </c>
      <c r="I16" s="1"/>
    </row>
    <row r="17" spans="1:9" x14ac:dyDescent="0.25">
      <c r="A17" s="1"/>
      <c r="B17" s="51" t="s">
        <v>274</v>
      </c>
      <c r="C17" s="126">
        <v>75</v>
      </c>
      <c r="D17" s="9">
        <v>9850711.9700000007</v>
      </c>
      <c r="E17" s="9">
        <f t="shared" si="0"/>
        <v>131342.82626666667</v>
      </c>
      <c r="F17" s="9">
        <v>0</v>
      </c>
      <c r="G17" s="9">
        <v>1114904.5</v>
      </c>
      <c r="H17" s="14" t="s">
        <v>3</v>
      </c>
      <c r="I17" s="1"/>
    </row>
    <row r="18" spans="1:9" x14ac:dyDescent="0.25">
      <c r="A18" s="1"/>
      <c r="B18" s="51" t="s">
        <v>277</v>
      </c>
      <c r="C18" s="126">
        <v>75</v>
      </c>
      <c r="D18" s="9">
        <v>1804209.89</v>
      </c>
      <c r="E18" s="9">
        <f t="shared" si="0"/>
        <v>24056.131866666667</v>
      </c>
      <c r="F18" s="9">
        <v>0</v>
      </c>
      <c r="G18" s="9">
        <v>0</v>
      </c>
      <c r="H18" s="14" t="s">
        <v>3</v>
      </c>
      <c r="I18" s="1"/>
    </row>
    <row r="19" spans="1:9" x14ac:dyDescent="0.25">
      <c r="A19" s="1"/>
      <c r="B19" s="51" t="s">
        <v>278</v>
      </c>
      <c r="C19" s="126">
        <v>75</v>
      </c>
      <c r="D19" s="9">
        <v>2999982.15</v>
      </c>
      <c r="E19" s="9">
        <f t="shared" si="0"/>
        <v>39999.761999999995</v>
      </c>
      <c r="F19" s="9">
        <v>0</v>
      </c>
      <c r="G19" s="9">
        <v>0</v>
      </c>
      <c r="H19" s="14" t="s">
        <v>3</v>
      </c>
      <c r="I19" s="1"/>
    </row>
    <row r="20" spans="1:9" ht="26.25" x14ac:dyDescent="0.25">
      <c r="A20" s="1"/>
      <c r="B20" s="51" t="s">
        <v>281</v>
      </c>
      <c r="C20" s="126">
        <v>60</v>
      </c>
      <c r="D20" s="9">
        <v>3040501.32</v>
      </c>
      <c r="E20" s="9">
        <f t="shared" si="0"/>
        <v>50675.021999999997</v>
      </c>
      <c r="F20" s="9">
        <v>0</v>
      </c>
      <c r="G20" s="9">
        <v>0</v>
      </c>
      <c r="H20" s="14" t="s">
        <v>3</v>
      </c>
      <c r="I20" s="1"/>
    </row>
    <row r="21" spans="1:9" x14ac:dyDescent="0.25">
      <c r="A21" s="1"/>
      <c r="B21" s="51" t="s">
        <v>282</v>
      </c>
      <c r="C21" s="126">
        <v>20</v>
      </c>
      <c r="D21" s="9">
        <v>17993350.48</v>
      </c>
      <c r="E21" s="9">
        <f t="shared" si="0"/>
        <v>899667.52399999998</v>
      </c>
      <c r="F21" s="9">
        <v>0</v>
      </c>
      <c r="G21" s="9">
        <v>0</v>
      </c>
      <c r="H21" s="14" t="s">
        <v>3</v>
      </c>
      <c r="I21" s="1"/>
    </row>
    <row r="22" spans="1:9" x14ac:dyDescent="0.25">
      <c r="A22" s="1"/>
      <c r="B22" s="51" t="s">
        <v>283</v>
      </c>
      <c r="C22" s="126">
        <v>10</v>
      </c>
      <c r="D22" s="9">
        <v>1200009.1299999999</v>
      </c>
      <c r="E22" s="9">
        <f t="shared" si="0"/>
        <v>120000.91299999999</v>
      </c>
      <c r="F22" s="9">
        <v>0</v>
      </c>
      <c r="G22" s="9">
        <v>0</v>
      </c>
      <c r="H22" s="14" t="s">
        <v>3</v>
      </c>
      <c r="I22" s="1"/>
    </row>
    <row r="23" spans="1:9" x14ac:dyDescent="0.25">
      <c r="A23" s="1"/>
      <c r="B23" s="51" t="s">
        <v>274</v>
      </c>
      <c r="C23" s="126">
        <v>75</v>
      </c>
      <c r="D23" s="9">
        <v>46893.77</v>
      </c>
      <c r="E23" s="9">
        <f t="shared" si="0"/>
        <v>625.25026666666668</v>
      </c>
      <c r="F23" s="9">
        <v>0</v>
      </c>
      <c r="G23" s="9">
        <v>0</v>
      </c>
      <c r="H23" s="14" t="s">
        <v>3</v>
      </c>
      <c r="I23" s="1"/>
    </row>
    <row r="24" spans="1:9" ht="26.25" x14ac:dyDescent="0.25">
      <c r="A24" s="1"/>
      <c r="B24" s="51" t="s">
        <v>275</v>
      </c>
      <c r="C24" s="126">
        <v>75</v>
      </c>
      <c r="D24" s="9">
        <v>587188.31999999995</v>
      </c>
      <c r="E24" s="9">
        <f t="shared" si="0"/>
        <v>7829.1775999999991</v>
      </c>
      <c r="F24" s="9">
        <v>0</v>
      </c>
      <c r="G24" s="9">
        <v>0</v>
      </c>
      <c r="H24" s="14" t="s">
        <v>3</v>
      </c>
      <c r="I24" s="1"/>
    </row>
    <row r="25" spans="1:9" ht="26.25" x14ac:dyDescent="0.25">
      <c r="A25" s="1"/>
      <c r="B25" s="51" t="s">
        <v>284</v>
      </c>
      <c r="C25" s="126">
        <v>75</v>
      </c>
      <c r="D25" s="9">
        <v>1565597.1</v>
      </c>
      <c r="E25" s="9">
        <f t="shared" si="0"/>
        <v>20874.628000000001</v>
      </c>
      <c r="F25" s="9">
        <v>0</v>
      </c>
      <c r="G25" s="9">
        <v>0</v>
      </c>
      <c r="H25" s="14" t="s">
        <v>3</v>
      </c>
      <c r="I25" s="1"/>
    </row>
    <row r="26" spans="1:9" ht="26.25" x14ac:dyDescent="0.25">
      <c r="A26" s="1"/>
      <c r="B26" s="51" t="s">
        <v>285</v>
      </c>
      <c r="C26" s="126">
        <v>75</v>
      </c>
      <c r="D26" s="9">
        <v>4201481.72</v>
      </c>
      <c r="E26" s="9">
        <f t="shared" si="0"/>
        <v>56019.756266666664</v>
      </c>
      <c r="F26" s="9">
        <v>0</v>
      </c>
      <c r="G26" s="9">
        <v>0</v>
      </c>
      <c r="H26" s="14" t="s">
        <v>3</v>
      </c>
      <c r="I26" s="1"/>
    </row>
    <row r="27" spans="1:9" x14ac:dyDescent="0.25">
      <c r="A27" s="1"/>
      <c r="B27" s="51" t="s">
        <v>277</v>
      </c>
      <c r="C27" s="126">
        <v>75</v>
      </c>
      <c r="D27" s="9">
        <v>488476.73</v>
      </c>
      <c r="E27" s="9">
        <f t="shared" ref="E27:E28" si="1">IFERROR(D27/C27,0)</f>
        <v>6513.0230666666666</v>
      </c>
      <c r="F27" s="9">
        <v>0</v>
      </c>
      <c r="G27" s="9">
        <v>0</v>
      </c>
      <c r="H27" s="14" t="s">
        <v>3</v>
      </c>
      <c r="I27" s="1"/>
    </row>
    <row r="28" spans="1:9" x14ac:dyDescent="0.25">
      <c r="A28" s="1"/>
      <c r="B28" s="51" t="s">
        <v>278</v>
      </c>
      <c r="C28" s="126">
        <v>75</v>
      </c>
      <c r="D28" s="9">
        <v>161411.04</v>
      </c>
      <c r="E28" s="9">
        <f t="shared" si="1"/>
        <v>2152.1471999999999</v>
      </c>
      <c r="F28" s="9">
        <v>0</v>
      </c>
      <c r="G28" s="9">
        <v>0</v>
      </c>
      <c r="H28" s="14" t="s">
        <v>3</v>
      </c>
      <c r="I28" s="1"/>
    </row>
    <row r="29" spans="1:9" x14ac:dyDescent="0.25">
      <c r="A29" s="1"/>
      <c r="B29" s="93" t="s">
        <v>263</v>
      </c>
      <c r="C29" s="94"/>
      <c r="D29" s="95"/>
      <c r="E29" s="12">
        <f>SUM(E10:E28)</f>
        <v>1517231.2254000001</v>
      </c>
      <c r="F29" s="12">
        <f>SUM(F10:F28)</f>
        <v>0</v>
      </c>
      <c r="G29" s="12">
        <f>SUM(G10:G28)</f>
        <v>1114904.5</v>
      </c>
      <c r="H29" s="13" t="s">
        <v>3</v>
      </c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2:8" x14ac:dyDescent="0.25">
      <c r="B49" s="1"/>
      <c r="C49" s="1"/>
      <c r="D49" s="1"/>
      <c r="E49" s="1"/>
      <c r="F49" s="1"/>
      <c r="G49" s="1"/>
      <c r="H49" s="1"/>
    </row>
    <row r="50" spans="2:8" x14ac:dyDescent="0.25">
      <c r="B50" s="1"/>
      <c r="C50" s="1"/>
      <c r="D50" s="1"/>
      <c r="E50" s="1"/>
      <c r="F50" s="1"/>
      <c r="G50" s="1"/>
      <c r="H50" s="1"/>
    </row>
    <row r="51" spans="2:8" x14ac:dyDescent="0.25">
      <c r="B51" s="1"/>
      <c r="C51" s="1"/>
      <c r="D51" s="1"/>
      <c r="E51" s="1"/>
      <c r="F51" s="1"/>
      <c r="G51" s="1"/>
      <c r="H51" s="1"/>
    </row>
    <row r="52" spans="2:8" x14ac:dyDescent="0.25">
      <c r="B52" s="1"/>
      <c r="C52" s="1"/>
      <c r="D52" s="1"/>
      <c r="E52" s="1"/>
      <c r="F52" s="1"/>
      <c r="G52" s="1"/>
      <c r="H52" s="1"/>
    </row>
    <row r="53" spans="2:8" x14ac:dyDescent="0.25">
      <c r="B53" s="1"/>
      <c r="C53" s="1"/>
      <c r="D53" s="1"/>
      <c r="E53" s="1"/>
      <c r="F53" s="1"/>
      <c r="G53" s="1"/>
      <c r="H53" s="1"/>
    </row>
    <row r="54" spans="2:8" x14ac:dyDescent="0.25">
      <c r="B54" s="1"/>
      <c r="C54" s="1"/>
      <c r="D54" s="1"/>
      <c r="E54" s="1"/>
      <c r="F54" s="1"/>
      <c r="G54" s="1"/>
      <c r="H54" s="1"/>
    </row>
    <row r="55" spans="2:8" x14ac:dyDescent="0.25">
      <c r="B55" s="1"/>
      <c r="C55" s="1"/>
      <c r="D55" s="1"/>
      <c r="E55" s="1"/>
      <c r="F55" s="1"/>
      <c r="G55" s="1"/>
      <c r="H55" s="1"/>
    </row>
    <row r="56" spans="2:8" x14ac:dyDescent="0.25">
      <c r="B56" s="1"/>
      <c r="C56" s="1"/>
      <c r="D56" s="1"/>
      <c r="E56" s="1"/>
      <c r="F56" s="1"/>
      <c r="G56" s="1"/>
      <c r="H56" s="1"/>
    </row>
    <row r="57" spans="2:8" x14ac:dyDescent="0.25">
      <c r="B57" s="1"/>
      <c r="C57" s="1"/>
      <c r="D57" s="1"/>
      <c r="E57" s="1"/>
      <c r="F57" s="1"/>
      <c r="G57" s="1"/>
      <c r="H57" s="1"/>
    </row>
    <row r="58" spans="2:8" x14ac:dyDescent="0.25">
      <c r="B58" s="1"/>
      <c r="C58" s="1"/>
      <c r="D58" s="1"/>
      <c r="E58" s="1"/>
      <c r="F58" s="1"/>
      <c r="G58" s="1"/>
      <c r="H58" s="1"/>
    </row>
    <row r="59" spans="2:8" x14ac:dyDescent="0.25">
      <c r="B59" s="1"/>
      <c r="C59" s="1"/>
      <c r="D59" s="1"/>
      <c r="E59" s="1"/>
      <c r="F59" s="1"/>
      <c r="G59" s="1"/>
      <c r="H59" s="1"/>
    </row>
    <row r="60" spans="2:8" x14ac:dyDescent="0.25">
      <c r="B60" s="1"/>
      <c r="C60" s="1"/>
      <c r="D60" s="1"/>
      <c r="E60" s="1"/>
      <c r="F60" s="1"/>
      <c r="G60" s="1"/>
      <c r="H60" s="1"/>
    </row>
    <row r="61" spans="2:8" x14ac:dyDescent="0.25">
      <c r="B61" s="1"/>
      <c r="C61" s="1"/>
      <c r="D61" s="1"/>
      <c r="E61" s="1"/>
      <c r="F61" s="1"/>
      <c r="G61" s="1"/>
      <c r="H61" s="1"/>
    </row>
    <row r="62" spans="2:8" x14ac:dyDescent="0.25">
      <c r="B62" s="1"/>
      <c r="C62" s="1"/>
      <c r="D62" s="1"/>
      <c r="E62" s="1"/>
      <c r="F62" s="1"/>
      <c r="G62" s="1"/>
      <c r="H62" s="1"/>
    </row>
    <row r="63" spans="2:8" x14ac:dyDescent="0.25">
      <c r="B63" s="1"/>
      <c r="C63" s="1"/>
      <c r="D63" s="1"/>
      <c r="E63" s="1"/>
      <c r="F63" s="1"/>
      <c r="G63" s="1"/>
      <c r="H63" s="1"/>
    </row>
    <row r="64" spans="2:8" x14ac:dyDescent="0.25">
      <c r="B64" s="1"/>
      <c r="C64" s="1"/>
      <c r="D64" s="1"/>
      <c r="E64" s="1"/>
      <c r="F64" s="1"/>
      <c r="G64" s="1"/>
      <c r="H64" s="1"/>
    </row>
  </sheetData>
  <sheetProtection algorithmName="SHA-512" hashValue="+F5c5l1+2G9eZMo9B+6C0370IMesd5AX5VFoQVL6dN7fWqhtiwaCm2SLebVK86nldSt8mANGobIzs16gK3w2qw==" saltValue="j+6mGnjikjFmeNuPDjB+SA==" spinCount="100000" sheet="1" objects="1" scenarios="1"/>
  <mergeCells count="3">
    <mergeCell ref="B3:H4"/>
    <mergeCell ref="B29:D29"/>
    <mergeCell ref="B8:H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3" t="s">
        <v>231</v>
      </c>
      <c r="C3" s="73"/>
      <c r="D3" s="73"/>
      <c r="E3" s="73"/>
      <c r="F3" s="73"/>
      <c r="G3" s="1"/>
    </row>
    <row r="4" spans="1:7" ht="15" customHeight="1" x14ac:dyDescent="0.25">
      <c r="A4" s="1"/>
      <c r="B4" s="73"/>
      <c r="C4" s="73"/>
      <c r="D4" s="73"/>
      <c r="E4" s="73"/>
      <c r="F4" s="7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5" t="s">
        <v>137</v>
      </c>
      <c r="C8" s="46"/>
      <c r="D8" s="46"/>
      <c r="E8" s="46"/>
      <c r="F8" s="22"/>
      <c r="G8" s="1"/>
    </row>
    <row r="9" spans="1:7" ht="17.25" customHeight="1" x14ac:dyDescent="0.25">
      <c r="A9" s="1"/>
      <c r="B9" s="39" t="s">
        <v>25</v>
      </c>
      <c r="C9" s="39" t="s">
        <v>16</v>
      </c>
      <c r="D9" s="40"/>
      <c r="E9" s="39" t="s">
        <v>48</v>
      </c>
      <c r="F9" s="42"/>
      <c r="G9" s="1"/>
    </row>
    <row r="10" spans="1:7" x14ac:dyDescent="0.25">
      <c r="A10" s="1"/>
      <c r="B10" s="27" t="s">
        <v>286</v>
      </c>
      <c r="C10" s="24">
        <f>'Fane 9. Anlægsprojekter'!F29</f>
        <v>0</v>
      </c>
      <c r="D10" s="14" t="s">
        <v>3</v>
      </c>
      <c r="E10" s="9">
        <f>SUM('Fane 9. Anlægsprojekter'!E29,'Fane 9. Anlægsprojekter'!G29)</f>
        <v>2632135.7253999999</v>
      </c>
      <c r="F10" s="14" t="s">
        <v>3</v>
      </c>
      <c r="G10" s="1"/>
    </row>
    <row r="11" spans="1:7" x14ac:dyDescent="0.25">
      <c r="A11" s="1"/>
      <c r="B11" s="127" t="s">
        <v>272</v>
      </c>
      <c r="C11" s="24">
        <v>0</v>
      </c>
      <c r="D11" s="14" t="s">
        <v>3</v>
      </c>
      <c r="E11" s="9">
        <v>5883</v>
      </c>
      <c r="F11" s="14" t="s">
        <v>3</v>
      </c>
      <c r="G11" s="1"/>
    </row>
    <row r="12" spans="1:7" x14ac:dyDescent="0.25">
      <c r="A12" s="1"/>
      <c r="B12" s="45" t="s">
        <v>60</v>
      </c>
      <c r="C12" s="12">
        <f>SUM(C10:C11)</f>
        <v>0</v>
      </c>
      <c r="D12" s="13" t="s">
        <v>3</v>
      </c>
      <c r="E12" s="12">
        <f>SUM(E10:E11)</f>
        <v>2638018.7253999999</v>
      </c>
      <c r="F12" s="13" t="s">
        <v>3</v>
      </c>
      <c r="G12" s="1"/>
    </row>
    <row r="13" spans="1:7" x14ac:dyDescent="0.25">
      <c r="A13" s="1"/>
      <c r="B13" s="45" t="s">
        <v>71</v>
      </c>
      <c r="C13" s="12">
        <f>C12*(1+'Fane 15. Nøgletal'!C12)</f>
        <v>0</v>
      </c>
      <c r="D13" s="13" t="s">
        <v>3</v>
      </c>
      <c r="E13" s="12">
        <f>E12*(1+'Fane 15. Nøgletal'!C12)</f>
        <v>2689987.69429038</v>
      </c>
      <c r="F13" s="13" t="s">
        <v>3</v>
      </c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XdZJCZZIDarN5hHdFoYdjrAEusSIvOswS3my8zIXZRRPq1vgp7H6ljAZa3o87DhhD056WoChUOeu+kSCwEGo0Q==" saltValue="UuK4Ytpfo98JQPtag4RJEw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/>
  <dimension ref="A1:G42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3" t="s">
        <v>230</v>
      </c>
      <c r="C3" s="73"/>
      <c r="D3" s="73"/>
      <c r="E3" s="73"/>
      <c r="F3" s="73"/>
      <c r="G3" s="1"/>
    </row>
    <row r="4" spans="1:7" ht="15" customHeight="1" x14ac:dyDescent="0.25">
      <c r="A4" s="1"/>
      <c r="B4" s="73"/>
      <c r="C4" s="73"/>
      <c r="D4" s="73"/>
      <c r="E4" s="73"/>
      <c r="F4" s="7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3" t="s">
        <v>183</v>
      </c>
      <c r="C8" s="94"/>
      <c r="D8" s="94"/>
      <c r="E8" s="94"/>
      <c r="F8" s="95"/>
      <c r="G8" s="1"/>
    </row>
    <row r="9" spans="1:7" x14ac:dyDescent="0.25">
      <c r="A9" s="1"/>
      <c r="B9" s="39" t="s">
        <v>25</v>
      </c>
      <c r="C9" s="39" t="s">
        <v>16</v>
      </c>
      <c r="D9" s="40"/>
      <c r="E9" s="39" t="s">
        <v>48</v>
      </c>
      <c r="F9" s="42"/>
      <c r="G9" s="1"/>
    </row>
    <row r="10" spans="1:7" x14ac:dyDescent="0.25">
      <c r="A10" s="1"/>
      <c r="B10" s="27" t="s">
        <v>273</v>
      </c>
      <c r="C10" s="24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45" t="s">
        <v>187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29" t="s">
        <v>10</v>
      </c>
      <c r="C12" s="30">
        <f>-C11*'Fane 5. Individuelt eff. krav'!G10</f>
        <v>0</v>
      </c>
      <c r="D12" s="31" t="s">
        <v>3</v>
      </c>
      <c r="E12" s="30">
        <f>-E11*'Fane 5. Individuelt eff. krav'!G10</f>
        <v>0</v>
      </c>
      <c r="F12" s="31" t="s">
        <v>3</v>
      </c>
      <c r="G12" s="1"/>
    </row>
    <row r="13" spans="1:7" x14ac:dyDescent="0.25">
      <c r="A13" s="1"/>
      <c r="B13" s="29" t="s">
        <v>191</v>
      </c>
      <c r="C13" s="30">
        <f>-C11*'Fane 15. Nøgletal'!C25</f>
        <v>0</v>
      </c>
      <c r="D13" s="31" t="s">
        <v>3</v>
      </c>
      <c r="E13" s="30">
        <f>-E11*'Fane 15. Nøgletal'!C20</f>
        <v>0</v>
      </c>
      <c r="F13" s="31" t="s">
        <v>3</v>
      </c>
      <c r="G13" s="1"/>
    </row>
    <row r="14" spans="1:7" x14ac:dyDescent="0.25">
      <c r="A14" s="1"/>
      <c r="B14" s="45" t="s">
        <v>188</v>
      </c>
      <c r="C14" s="12">
        <f>SUM(C11:C13)*(1+'Fane 15. Nøgletal'!C12)^2</f>
        <v>0</v>
      </c>
      <c r="D14" s="13" t="s">
        <v>3</v>
      </c>
      <c r="E14" s="12">
        <f>SUM(E11:E13)*(1+'Fane 15. Nøgletal'!C12)^2</f>
        <v>0</v>
      </c>
      <c r="F14" s="13" t="s">
        <v>3</v>
      </c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93" t="s">
        <v>184</v>
      </c>
      <c r="C16" s="94"/>
      <c r="D16" s="94"/>
      <c r="E16" s="94"/>
      <c r="F16" s="95"/>
      <c r="G16" s="1"/>
    </row>
    <row r="17" spans="1:7" x14ac:dyDescent="0.25">
      <c r="A17" s="1"/>
      <c r="B17" s="39" t="s">
        <v>25</v>
      </c>
      <c r="C17" s="39" t="s">
        <v>16</v>
      </c>
      <c r="D17" s="40"/>
      <c r="E17" s="39" t="s">
        <v>48</v>
      </c>
      <c r="F17" s="42"/>
      <c r="G17" s="1"/>
    </row>
    <row r="18" spans="1:7" x14ac:dyDescent="0.25">
      <c r="A18" s="1"/>
      <c r="B18" s="27" t="s">
        <v>273</v>
      </c>
      <c r="C18" s="24">
        <v>0</v>
      </c>
      <c r="D18" s="14" t="s">
        <v>3</v>
      </c>
      <c r="E18" s="9">
        <v>0</v>
      </c>
      <c r="F18" s="14" t="s">
        <v>3</v>
      </c>
      <c r="G18" s="1"/>
    </row>
    <row r="19" spans="1:7" x14ac:dyDescent="0.25">
      <c r="A19" s="1"/>
      <c r="B19" s="45" t="s">
        <v>187</v>
      </c>
      <c r="C19" s="12">
        <f>SUM(C18:C18)</f>
        <v>0</v>
      </c>
      <c r="D19" s="13" t="s">
        <v>3</v>
      </c>
      <c r="E19" s="12">
        <f>SUM(E18:E18)</f>
        <v>0</v>
      </c>
      <c r="F19" s="13" t="s">
        <v>3</v>
      </c>
      <c r="G19" s="1"/>
    </row>
    <row r="20" spans="1:7" x14ac:dyDescent="0.25">
      <c r="A20" s="1"/>
      <c r="B20" s="29" t="s">
        <v>10</v>
      </c>
      <c r="C20" s="30">
        <f>-C19*'Fane 5. Individuelt eff. krav'!G10</f>
        <v>0</v>
      </c>
      <c r="D20" s="31" t="s">
        <v>3</v>
      </c>
      <c r="E20" s="30">
        <f>-E19*'Fane 5. Individuelt eff. krav'!G10</f>
        <v>0</v>
      </c>
      <c r="F20" s="31" t="s">
        <v>3</v>
      </c>
      <c r="G20" s="1"/>
    </row>
    <row r="21" spans="1:7" x14ac:dyDescent="0.25">
      <c r="A21" s="1"/>
      <c r="B21" s="29" t="s">
        <v>191</v>
      </c>
      <c r="C21" s="30">
        <f>-C19*'Fane 15. Nøgletal'!C25</f>
        <v>0</v>
      </c>
      <c r="D21" s="31" t="s">
        <v>3</v>
      </c>
      <c r="E21" s="30">
        <f>-E19*'Fane 15. Nøgletal'!C20</f>
        <v>0</v>
      </c>
      <c r="F21" s="31" t="s">
        <v>3</v>
      </c>
      <c r="G21" s="1"/>
    </row>
    <row r="22" spans="1:7" x14ac:dyDescent="0.25">
      <c r="A22" s="1"/>
      <c r="B22" s="45" t="s">
        <v>189</v>
      </c>
      <c r="C22" s="12">
        <f>SUM(C19:C21)*(1+'Fane 15. Nøgletal'!C12)^3</f>
        <v>0</v>
      </c>
      <c r="D22" s="13" t="s">
        <v>3</v>
      </c>
      <c r="E22" s="12">
        <f>SUM(E19:E21)*(1+'Fane 15. Nøgletal'!C12)^3</f>
        <v>0</v>
      </c>
      <c r="F22" s="13" t="s">
        <v>3</v>
      </c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93" t="s">
        <v>185</v>
      </c>
      <c r="C24" s="94"/>
      <c r="D24" s="94"/>
      <c r="E24" s="94"/>
      <c r="F24" s="95"/>
      <c r="G24" s="1"/>
    </row>
    <row r="25" spans="1:7" x14ac:dyDescent="0.25">
      <c r="A25" s="1"/>
      <c r="B25" s="39" t="s">
        <v>25</v>
      </c>
      <c r="C25" s="39" t="s">
        <v>16</v>
      </c>
      <c r="D25" s="40"/>
      <c r="E25" s="39" t="s">
        <v>48</v>
      </c>
      <c r="F25" s="42"/>
      <c r="G25" s="1"/>
    </row>
    <row r="26" spans="1:7" x14ac:dyDescent="0.25">
      <c r="A26" s="1"/>
      <c r="B26" s="27" t="s">
        <v>273</v>
      </c>
      <c r="C26" s="24">
        <v>0</v>
      </c>
      <c r="D26" s="14" t="s">
        <v>3</v>
      </c>
      <c r="E26" s="9">
        <v>0</v>
      </c>
      <c r="F26" s="14" t="s">
        <v>3</v>
      </c>
      <c r="G26" s="1"/>
    </row>
    <row r="27" spans="1:7" x14ac:dyDescent="0.25">
      <c r="A27" s="1"/>
      <c r="B27" s="45" t="s">
        <v>187</v>
      </c>
      <c r="C27" s="12">
        <f>SUM(C26:C26)</f>
        <v>0</v>
      </c>
      <c r="D27" s="13" t="s">
        <v>3</v>
      </c>
      <c r="E27" s="12">
        <f>SUM(E26:E26)</f>
        <v>0</v>
      </c>
      <c r="F27" s="13" t="s">
        <v>3</v>
      </c>
      <c r="G27" s="1"/>
    </row>
    <row r="28" spans="1:7" x14ac:dyDescent="0.25">
      <c r="A28" s="1"/>
      <c r="B28" s="29" t="s">
        <v>10</v>
      </c>
      <c r="C28" s="30">
        <f>-C27*'Fane 5. Individuelt eff. krav'!G10</f>
        <v>0</v>
      </c>
      <c r="D28" s="31" t="s">
        <v>3</v>
      </c>
      <c r="E28" s="30">
        <f>-E27*'Fane 5. Individuelt eff. krav'!G10</f>
        <v>0</v>
      </c>
      <c r="F28" s="31" t="s">
        <v>3</v>
      </c>
      <c r="G28" s="1"/>
    </row>
    <row r="29" spans="1:7" x14ac:dyDescent="0.25">
      <c r="A29" s="1"/>
      <c r="B29" s="29" t="s">
        <v>191</v>
      </c>
      <c r="C29" s="30">
        <f>-C27*'Fane 15. Nøgletal'!C25</f>
        <v>0</v>
      </c>
      <c r="D29" s="31" t="s">
        <v>3</v>
      </c>
      <c r="E29" s="30">
        <f>-E27*'Fane 15. Nøgletal'!C20</f>
        <v>0</v>
      </c>
      <c r="F29" s="31" t="s">
        <v>3</v>
      </c>
      <c r="G29" s="1"/>
    </row>
    <row r="30" spans="1:7" x14ac:dyDescent="0.25">
      <c r="A30" s="1"/>
      <c r="B30" s="45" t="s">
        <v>189</v>
      </c>
      <c r="C30" s="12">
        <f>SUM(C27:C29)*(1+'Fane 15. Nøgletal'!C12)^4</f>
        <v>0</v>
      </c>
      <c r="D30" s="13" t="s">
        <v>3</v>
      </c>
      <c r="E30" s="12">
        <f>SUM(E27:E29)*(1+'Fane 15. Nøgletal'!C12)^4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93" t="s">
        <v>186</v>
      </c>
      <c r="C32" s="94"/>
      <c r="D32" s="94"/>
      <c r="E32" s="94"/>
      <c r="F32" s="95"/>
      <c r="G32" s="1"/>
    </row>
    <row r="33" spans="1:7" x14ac:dyDescent="0.25">
      <c r="A33" s="1"/>
      <c r="B33" s="39" t="s">
        <v>25</v>
      </c>
      <c r="C33" s="39" t="s">
        <v>16</v>
      </c>
      <c r="D33" s="40"/>
      <c r="E33" s="39" t="s">
        <v>48</v>
      </c>
      <c r="F33" s="42"/>
      <c r="G33" s="1"/>
    </row>
    <row r="34" spans="1:7" x14ac:dyDescent="0.25">
      <c r="A34" s="1"/>
      <c r="B34" s="27" t="s">
        <v>273</v>
      </c>
      <c r="C34" s="24">
        <v>0</v>
      </c>
      <c r="D34" s="14" t="s">
        <v>3</v>
      </c>
      <c r="E34" s="9">
        <v>0</v>
      </c>
      <c r="F34" s="14" t="s">
        <v>3</v>
      </c>
      <c r="G34" s="1"/>
    </row>
    <row r="35" spans="1:7" x14ac:dyDescent="0.25">
      <c r="A35" s="1"/>
      <c r="B35" s="45" t="s">
        <v>187</v>
      </c>
      <c r="C35" s="12">
        <f>SUM(C34:C34)</f>
        <v>0</v>
      </c>
      <c r="D35" s="13" t="s">
        <v>3</v>
      </c>
      <c r="E35" s="12">
        <f>SUM(E34:E34)</f>
        <v>0</v>
      </c>
      <c r="F35" s="13" t="s">
        <v>3</v>
      </c>
      <c r="G35" s="1"/>
    </row>
    <row r="36" spans="1:7" x14ac:dyDescent="0.25">
      <c r="A36" s="1"/>
      <c r="B36" s="29" t="s">
        <v>10</v>
      </c>
      <c r="C36" s="30">
        <f>-C35*'Fane 5. Individuelt eff. krav'!G10</f>
        <v>0</v>
      </c>
      <c r="D36" s="31" t="s">
        <v>3</v>
      </c>
      <c r="E36" s="30">
        <f>-E35*'Fane 5. Individuelt eff. krav'!G10</f>
        <v>0</v>
      </c>
      <c r="F36" s="31" t="s">
        <v>3</v>
      </c>
      <c r="G36" s="1"/>
    </row>
    <row r="37" spans="1:7" x14ac:dyDescent="0.25">
      <c r="A37" s="1"/>
      <c r="B37" s="29" t="s">
        <v>191</v>
      </c>
      <c r="C37" s="30">
        <f>-C35*'Fane 15. Nøgletal'!C25</f>
        <v>0</v>
      </c>
      <c r="D37" s="31" t="s">
        <v>3</v>
      </c>
      <c r="E37" s="30">
        <f>-E35*'Fane 15. Nøgletal'!C20</f>
        <v>0</v>
      </c>
      <c r="F37" s="31" t="s">
        <v>3</v>
      </c>
      <c r="G37" s="1"/>
    </row>
    <row r="38" spans="1:7" x14ac:dyDescent="0.25">
      <c r="A38" s="1"/>
      <c r="B38" s="45" t="s">
        <v>189</v>
      </c>
      <c r="C38" s="12">
        <f>SUM(C35:C37)*(1+'Fane 15. Nøgletal'!C12)^5</f>
        <v>0</v>
      </c>
      <c r="D38" s="13" t="s">
        <v>3</v>
      </c>
      <c r="E38" s="12">
        <f>SUM(E35:E37)*(1+'Fane 15. Nøgletal'!C12)^5</f>
        <v>0</v>
      </c>
      <c r="F38" s="13" t="s">
        <v>3</v>
      </c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</sheetData>
  <sheetProtection algorithmName="SHA-512" hashValue="D2zBeUQtwZodWvTJPKLmSLOsmAzbEs2S2V7fBkdJgBcMg7O8qSZ1iA2eHCws5cK9uJbhpZReZ67TFtcp6KDWYw==" saltValue="5fWkWF+jy77/qeQyELKQ6Q==" spinCount="100000" sheet="1" objects="1" scenarios="1"/>
  <mergeCells count="5">
    <mergeCell ref="B3:F4"/>
    <mergeCell ref="B8:F8"/>
    <mergeCell ref="B16:F16"/>
    <mergeCell ref="B24:F24"/>
    <mergeCell ref="B32:F3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4" t="s">
        <v>243</v>
      </c>
      <c r="C3" s="84"/>
      <c r="D3" s="84"/>
      <c r="E3" s="84"/>
      <c r="F3" s="84"/>
      <c r="G3" s="1"/>
    </row>
    <row r="4" spans="1:7" ht="15" customHeight="1" x14ac:dyDescent="0.25">
      <c r="A4" s="1"/>
      <c r="B4" s="84"/>
      <c r="C4" s="84"/>
      <c r="D4" s="84"/>
      <c r="E4" s="84"/>
      <c r="F4" s="84"/>
      <c r="G4" s="1"/>
    </row>
    <row r="5" spans="1:7" x14ac:dyDescent="0.25">
      <c r="A5" s="1"/>
      <c r="B5" s="84"/>
      <c r="C5" s="84"/>
      <c r="D5" s="84"/>
      <c r="E5" s="84"/>
      <c r="F5" s="84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3" t="s">
        <v>158</v>
      </c>
      <c r="C8" s="94"/>
      <c r="D8" s="94"/>
      <c r="E8" s="94"/>
      <c r="F8" s="95"/>
      <c r="G8" s="1"/>
    </row>
    <row r="9" spans="1:7" x14ac:dyDescent="0.25">
      <c r="A9" s="1"/>
      <c r="B9" s="117" t="s">
        <v>157</v>
      </c>
      <c r="C9" s="118"/>
      <c r="D9" s="119"/>
      <c r="E9" s="9">
        <v>0</v>
      </c>
      <c r="F9" s="14" t="s">
        <v>3</v>
      </c>
      <c r="G9" s="1"/>
    </row>
    <row r="10" spans="1:7" x14ac:dyDescent="0.25">
      <c r="A10" s="1"/>
      <c r="B10" s="120" t="s">
        <v>10</v>
      </c>
      <c r="C10" s="121"/>
      <c r="D10" s="122"/>
      <c r="E10" s="9">
        <f>-E9*'Fane 5. Individuelt eff. krav'!G10</f>
        <v>0</v>
      </c>
      <c r="F10" s="14" t="s">
        <v>3</v>
      </c>
      <c r="G10" s="1"/>
    </row>
    <row r="11" spans="1:7" x14ac:dyDescent="0.25">
      <c r="A11" s="1"/>
      <c r="B11" s="120" t="s">
        <v>39</v>
      </c>
      <c r="C11" s="121"/>
      <c r="D11" s="122"/>
      <c r="E11" s="9">
        <f>-E9*'Fane 15. Nøgletal'!C25</f>
        <v>0</v>
      </c>
      <c r="F11" s="14" t="s">
        <v>3</v>
      </c>
      <c r="G11" s="1"/>
    </row>
    <row r="12" spans="1:7" x14ac:dyDescent="0.25">
      <c r="A12" s="1"/>
      <c r="B12" s="93" t="s">
        <v>162</v>
      </c>
      <c r="C12" s="94"/>
      <c r="D12" s="95"/>
      <c r="E12" s="12">
        <f>SUM(E9:E11)*(1+'Fane 15. Nøgletal'!C10)^2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93" t="s">
        <v>159</v>
      </c>
      <c r="C14" s="94"/>
      <c r="D14" s="94"/>
      <c r="E14" s="94"/>
      <c r="F14" s="95"/>
      <c r="G14" s="1"/>
    </row>
    <row r="15" spans="1:7" x14ac:dyDescent="0.25">
      <c r="A15" s="1"/>
      <c r="B15" s="117" t="s">
        <v>157</v>
      </c>
      <c r="C15" s="118"/>
      <c r="D15" s="119"/>
      <c r="E15" s="9">
        <v>0</v>
      </c>
      <c r="F15" s="14" t="s">
        <v>3</v>
      </c>
      <c r="G15" s="1"/>
    </row>
    <row r="16" spans="1:7" x14ac:dyDescent="0.25">
      <c r="A16" s="1"/>
      <c r="B16" s="120" t="s">
        <v>10</v>
      </c>
      <c r="C16" s="121"/>
      <c r="D16" s="122"/>
      <c r="E16" s="9">
        <f>-E15*'Fane 5. Individuelt eff. krav'!G10</f>
        <v>0</v>
      </c>
      <c r="F16" s="14" t="s">
        <v>3</v>
      </c>
      <c r="G16" s="1"/>
    </row>
    <row r="17" spans="1:7" x14ac:dyDescent="0.25">
      <c r="A17" s="1"/>
      <c r="B17" s="120" t="s">
        <v>39</v>
      </c>
      <c r="C17" s="121"/>
      <c r="D17" s="122"/>
      <c r="E17" s="9">
        <f>-E15*'Fane 15. Nøgletal'!C25</f>
        <v>0</v>
      </c>
      <c r="F17" s="14" t="s">
        <v>3</v>
      </c>
      <c r="G17" s="1"/>
    </row>
    <row r="18" spans="1:7" x14ac:dyDescent="0.25">
      <c r="A18" s="1"/>
      <c r="B18" s="93" t="s">
        <v>163</v>
      </c>
      <c r="C18" s="94"/>
      <c r="D18" s="95"/>
      <c r="E18" s="12">
        <f>SUM(E15:E17)*(1+'Fane 15. Nøgletal'!C10)^3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93" t="s">
        <v>160</v>
      </c>
      <c r="C20" s="94"/>
      <c r="D20" s="94"/>
      <c r="E20" s="94"/>
      <c r="F20" s="95"/>
      <c r="G20" s="1"/>
    </row>
    <row r="21" spans="1:7" x14ac:dyDescent="0.25">
      <c r="A21" s="1"/>
      <c r="B21" s="117" t="s">
        <v>157</v>
      </c>
      <c r="C21" s="118"/>
      <c r="D21" s="119"/>
      <c r="E21" s="9">
        <v>0</v>
      </c>
      <c r="F21" s="14" t="s">
        <v>3</v>
      </c>
      <c r="G21" s="1"/>
    </row>
    <row r="22" spans="1:7" x14ac:dyDescent="0.25">
      <c r="A22" s="1"/>
      <c r="B22" s="120" t="s">
        <v>10</v>
      </c>
      <c r="C22" s="121"/>
      <c r="D22" s="122"/>
      <c r="E22" s="9">
        <f>-E21*'Fane 5. Individuelt eff. krav'!G10</f>
        <v>0</v>
      </c>
      <c r="F22" s="14" t="s">
        <v>3</v>
      </c>
      <c r="G22" s="1"/>
    </row>
    <row r="23" spans="1:7" x14ac:dyDescent="0.25">
      <c r="A23" s="1"/>
      <c r="B23" s="120" t="s">
        <v>39</v>
      </c>
      <c r="C23" s="121"/>
      <c r="D23" s="122"/>
      <c r="E23" s="9">
        <f>-E21*'Fane 15. Nøgletal'!C25</f>
        <v>0</v>
      </c>
      <c r="F23" s="14" t="s">
        <v>3</v>
      </c>
      <c r="G23" s="1"/>
    </row>
    <row r="24" spans="1:7" x14ac:dyDescent="0.25">
      <c r="A24" s="1"/>
      <c r="B24" s="93" t="s">
        <v>164</v>
      </c>
      <c r="C24" s="94"/>
      <c r="D24" s="95"/>
      <c r="E24" s="12">
        <f>SUM(E21:E23)*(1+'Fane 15. Nøgletal'!C12)^4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93" t="s">
        <v>161</v>
      </c>
      <c r="C26" s="94"/>
      <c r="D26" s="94"/>
      <c r="E26" s="94"/>
      <c r="F26" s="95"/>
      <c r="G26" s="1"/>
    </row>
    <row r="27" spans="1:7" x14ac:dyDescent="0.25">
      <c r="A27" s="1"/>
      <c r="B27" s="117" t="s">
        <v>157</v>
      </c>
      <c r="C27" s="118"/>
      <c r="D27" s="119"/>
      <c r="E27" s="9">
        <v>0</v>
      </c>
      <c r="F27" s="14" t="s">
        <v>3</v>
      </c>
      <c r="G27" s="1"/>
    </row>
    <row r="28" spans="1:7" x14ac:dyDescent="0.25">
      <c r="A28" s="1"/>
      <c r="B28" s="120" t="s">
        <v>10</v>
      </c>
      <c r="C28" s="121"/>
      <c r="D28" s="122"/>
      <c r="E28" s="9">
        <f>-E27*'Fane 5. Individuelt eff. krav'!G10</f>
        <v>0</v>
      </c>
      <c r="F28" s="14" t="s">
        <v>3</v>
      </c>
      <c r="G28" s="1"/>
    </row>
    <row r="29" spans="1:7" x14ac:dyDescent="0.25">
      <c r="A29" s="1"/>
      <c r="B29" s="120" t="s">
        <v>39</v>
      </c>
      <c r="C29" s="121"/>
      <c r="D29" s="122"/>
      <c r="E29" s="9">
        <f>-E27*'Fane 15. Nøgletal'!C25</f>
        <v>0</v>
      </c>
      <c r="F29" s="14" t="s">
        <v>3</v>
      </c>
      <c r="G29" s="1"/>
    </row>
    <row r="30" spans="1:7" x14ac:dyDescent="0.25">
      <c r="A30" s="1"/>
      <c r="B30" s="93" t="s">
        <v>165</v>
      </c>
      <c r="C30" s="94"/>
      <c r="D30" s="95"/>
      <c r="E30" s="12">
        <f>SUM(E27:E29)*(1+'Fane 15. Nøgletal'!C12)^5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/+o7dGdOqOXiz6g08xwfy65SCwCiGC9ZCuSG4J9oLN2zsT78ESKC06CFtyIfv/E+sF/Uoa0IKfMB933ibdGEBw==" saltValue="a/XlxC+Rd8O2sP6k4UJEEQ==" spinCount="100000" sheet="1" objects="1" scenarios="1"/>
  <mergeCells count="21">
    <mergeCell ref="B12:D12"/>
    <mergeCell ref="B10:D10"/>
    <mergeCell ref="B11:D11"/>
    <mergeCell ref="B16:D16"/>
    <mergeCell ref="B17:D17"/>
    <mergeCell ref="B3:F5"/>
    <mergeCell ref="B30:D30"/>
    <mergeCell ref="B26:F26"/>
    <mergeCell ref="B27:D27"/>
    <mergeCell ref="B24:D24"/>
    <mergeCell ref="B21:D21"/>
    <mergeCell ref="B22:D22"/>
    <mergeCell ref="B23:D23"/>
    <mergeCell ref="B28:D28"/>
    <mergeCell ref="B29:D29"/>
    <mergeCell ref="B8:F8"/>
    <mergeCell ref="B9:D9"/>
    <mergeCell ref="B18:D18"/>
    <mergeCell ref="B20:F20"/>
    <mergeCell ref="B14:F14"/>
    <mergeCell ref="B15:D1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/>
  <dimension ref="A1:G46"/>
  <sheetViews>
    <sheetView showGridLines="0" view="pageLayout" zoomScaleNormal="100" workbookViewId="0"/>
  </sheetViews>
  <sheetFormatPr defaultColWidth="9.140625" defaultRowHeight="15" x14ac:dyDescent="0.25"/>
  <cols>
    <col min="1" max="1" width="5.42578125" style="2" customWidth="1"/>
    <col min="2" max="2" width="41.140625" style="2" bestFit="1" customWidth="1"/>
    <col min="3" max="3" width="14" style="2" customWidth="1"/>
    <col min="4" max="4" width="3.28515625" style="2" customWidth="1"/>
    <col min="5" max="5" width="14" style="2" customWidth="1"/>
    <col min="6" max="6" width="3.28515625" style="2" customWidth="1"/>
    <col min="7" max="7" width="5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4" t="s">
        <v>229</v>
      </c>
      <c r="C3" s="84"/>
      <c r="D3" s="84"/>
      <c r="E3" s="84"/>
      <c r="F3" s="84"/>
      <c r="G3" s="1"/>
    </row>
    <row r="4" spans="1:7" ht="25.5" customHeight="1" x14ac:dyDescent="0.25">
      <c r="A4" s="1"/>
      <c r="B4" s="84"/>
      <c r="C4" s="84"/>
      <c r="D4" s="84"/>
      <c r="E4" s="84"/>
      <c r="F4" s="84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3" t="s">
        <v>32</v>
      </c>
      <c r="C8" s="94"/>
      <c r="D8" s="94"/>
      <c r="E8" s="94"/>
      <c r="F8" s="95"/>
      <c r="G8" s="1"/>
    </row>
    <row r="9" spans="1:7" ht="15" customHeight="1" x14ac:dyDescent="0.25">
      <c r="A9" s="1"/>
      <c r="B9" s="41" t="s">
        <v>33</v>
      </c>
      <c r="C9" s="78" t="s">
        <v>16</v>
      </c>
      <c r="D9" s="80"/>
      <c r="E9" s="81" t="s">
        <v>48</v>
      </c>
      <c r="F9" s="83"/>
      <c r="G9" s="1"/>
    </row>
    <row r="10" spans="1:7" x14ac:dyDescent="0.25">
      <c r="A10" s="1"/>
      <c r="B10" s="27" t="s">
        <v>264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ht="28.5" customHeight="1" x14ac:dyDescent="0.25">
      <c r="A11" s="1"/>
      <c r="B11" s="23" t="s">
        <v>34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ht="27" customHeight="1" x14ac:dyDescent="0.25">
      <c r="A12" s="1"/>
      <c r="B12" s="23" t="s">
        <v>73</v>
      </c>
      <c r="C12" s="12">
        <f>C11*(1+'Fane 15. Nøgletal'!C12)</f>
        <v>0</v>
      </c>
      <c r="D12" s="13" t="s">
        <v>3</v>
      </c>
      <c r="E12" s="12">
        <f>E11*(1+'Fane 15. Nøgletal'!C12)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</sheetData>
  <sheetProtection algorithmName="SHA-512" hashValue="Ha2OsNq6FFpGQPqjNwp8Gcz6QO1fjGyVEPi1IPoGPu9FqdEc01WauTZwkWXRApRg0rKHTUkjkHOUFK5etwqtsA==" saltValue="U8v6srtk+27s+e7ofHWtMA==" spinCount="100000" sheet="1" objects="1" scenarios="1"/>
  <mergeCells count="4">
    <mergeCell ref="B3:F4"/>
    <mergeCell ref="B8:F8"/>
    <mergeCell ref="C9:D9"/>
    <mergeCell ref="E9:F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3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15.7109375" style="2" customWidth="1"/>
    <col min="4" max="4" width="3.28515625" style="2" customWidth="1"/>
    <col min="5" max="5" width="18.425781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4" t="s">
        <v>227</v>
      </c>
      <c r="C3" s="84"/>
      <c r="D3" s="84"/>
      <c r="E3" s="84"/>
      <c r="F3" s="84"/>
      <c r="G3" s="1"/>
    </row>
    <row r="4" spans="1:7" ht="25.5" customHeight="1" x14ac:dyDescent="0.25">
      <c r="A4" s="1"/>
      <c r="B4" s="84"/>
      <c r="C4" s="84"/>
      <c r="D4" s="84"/>
      <c r="E4" s="84"/>
      <c r="F4" s="84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3" t="s">
        <v>167</v>
      </c>
      <c r="C8" s="94"/>
      <c r="D8" s="94"/>
      <c r="E8" s="94"/>
      <c r="F8" s="95"/>
      <c r="G8" s="1"/>
    </row>
    <row r="9" spans="1:7" ht="15" customHeight="1" x14ac:dyDescent="0.25">
      <c r="A9" s="1"/>
      <c r="B9" s="41" t="s">
        <v>26</v>
      </c>
      <c r="C9" s="41" t="s">
        <v>16</v>
      </c>
      <c r="D9" s="42"/>
      <c r="E9" s="41" t="s">
        <v>48</v>
      </c>
      <c r="F9" s="42"/>
      <c r="G9" s="1"/>
    </row>
    <row r="10" spans="1:7" x14ac:dyDescent="0.25">
      <c r="A10" s="1"/>
      <c r="B10" s="27" t="s">
        <v>265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45" t="s">
        <v>61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45" t="s">
        <v>72</v>
      </c>
      <c r="C12" s="12">
        <f>C11*(1+'Fane 15. Nøgletal'!C12)</f>
        <v>0</v>
      </c>
      <c r="D12" s="13" t="s">
        <v>3</v>
      </c>
      <c r="E12" s="12">
        <f>E11*(1+'Fane 15. Nøgletal'!C12)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93" t="s">
        <v>168</v>
      </c>
      <c r="C14" s="94"/>
      <c r="D14" s="94"/>
      <c r="E14" s="94"/>
      <c r="F14" s="95"/>
      <c r="G14" s="1"/>
    </row>
    <row r="15" spans="1:7" ht="26.25" x14ac:dyDescent="0.25">
      <c r="A15" s="1"/>
      <c r="B15" s="41" t="s">
        <v>26</v>
      </c>
      <c r="C15" s="41" t="s">
        <v>16</v>
      </c>
      <c r="D15" s="42"/>
      <c r="E15" s="41" t="s">
        <v>48</v>
      </c>
      <c r="F15" s="42"/>
      <c r="G15" s="1"/>
    </row>
    <row r="16" spans="1:7" x14ac:dyDescent="0.25">
      <c r="A16" s="1"/>
      <c r="B16" s="27" t="s">
        <v>265</v>
      </c>
      <c r="C16" s="9">
        <v>0</v>
      </c>
      <c r="D16" s="14" t="s">
        <v>3</v>
      </c>
      <c r="E16" s="9">
        <v>0</v>
      </c>
      <c r="F16" s="14" t="s">
        <v>3</v>
      </c>
      <c r="G16" s="1"/>
    </row>
    <row r="17" spans="1:7" x14ac:dyDescent="0.25">
      <c r="A17" s="1"/>
      <c r="B17" s="45" t="s">
        <v>61</v>
      </c>
      <c r="C17" s="12">
        <f>SUM(C16:C16)</f>
        <v>0</v>
      </c>
      <c r="D17" s="13" t="s">
        <v>3</v>
      </c>
      <c r="E17" s="12">
        <f>SUM(E16:E16)</f>
        <v>0</v>
      </c>
      <c r="F17" s="13" t="s">
        <v>3</v>
      </c>
      <c r="G17" s="1"/>
    </row>
    <row r="18" spans="1:7" x14ac:dyDescent="0.25">
      <c r="A18" s="1"/>
      <c r="B18" s="45" t="s">
        <v>150</v>
      </c>
      <c r="C18" s="12">
        <f>C17*(1+'Fane 15. Nøgletal'!C12)^2</f>
        <v>0</v>
      </c>
      <c r="D18" s="13" t="s">
        <v>3</v>
      </c>
      <c r="E18" s="12">
        <f>E17*(1+'Fane 15. Nøgletal'!C12)^2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93" t="s">
        <v>166</v>
      </c>
      <c r="C20" s="94"/>
      <c r="D20" s="94"/>
      <c r="E20" s="94"/>
      <c r="F20" s="95"/>
      <c r="G20" s="1"/>
    </row>
    <row r="21" spans="1:7" ht="26.25" x14ac:dyDescent="0.25">
      <c r="A21" s="1"/>
      <c r="B21" s="41" t="s">
        <v>26</v>
      </c>
      <c r="C21" s="41" t="s">
        <v>16</v>
      </c>
      <c r="D21" s="42"/>
      <c r="E21" s="41" t="s">
        <v>48</v>
      </c>
      <c r="F21" s="42"/>
      <c r="G21" s="1"/>
    </row>
    <row r="22" spans="1:7" x14ac:dyDescent="0.25">
      <c r="A22" s="1"/>
      <c r="B22" s="27" t="s">
        <v>265</v>
      </c>
      <c r="C22" s="9">
        <v>0</v>
      </c>
      <c r="D22" s="14" t="s">
        <v>3</v>
      </c>
      <c r="E22" s="9">
        <v>0</v>
      </c>
      <c r="F22" s="14" t="s">
        <v>3</v>
      </c>
      <c r="G22" s="1"/>
    </row>
    <row r="23" spans="1:7" x14ac:dyDescent="0.25">
      <c r="A23" s="1"/>
      <c r="B23" s="45" t="s">
        <v>61</v>
      </c>
      <c r="C23" s="12">
        <f>SUM(C22:C22)</f>
        <v>0</v>
      </c>
      <c r="D23" s="13" t="s">
        <v>3</v>
      </c>
      <c r="E23" s="12">
        <f>SUM(E22:E22)</f>
        <v>0</v>
      </c>
      <c r="F23" s="13" t="s">
        <v>3</v>
      </c>
      <c r="G23" s="1"/>
    </row>
    <row r="24" spans="1:7" x14ac:dyDescent="0.25">
      <c r="A24" s="1"/>
      <c r="B24" s="45" t="s">
        <v>151</v>
      </c>
      <c r="C24" s="12">
        <f>C23*(1+'Fane 15. Nøgletal'!C12)^3</f>
        <v>0</v>
      </c>
      <c r="D24" s="13" t="s">
        <v>3</v>
      </c>
      <c r="E24" s="12">
        <f>E23*(1+'Fane 15. Nøgletal'!C12)^3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93" t="s">
        <v>169</v>
      </c>
      <c r="C26" s="94"/>
      <c r="D26" s="94"/>
      <c r="E26" s="94"/>
      <c r="F26" s="95"/>
      <c r="G26" s="1"/>
    </row>
    <row r="27" spans="1:7" ht="26.25" x14ac:dyDescent="0.25">
      <c r="A27" s="1"/>
      <c r="B27" s="41" t="s">
        <v>26</v>
      </c>
      <c r="C27" s="41" t="s">
        <v>16</v>
      </c>
      <c r="D27" s="42"/>
      <c r="E27" s="41" t="s">
        <v>48</v>
      </c>
      <c r="F27" s="42"/>
      <c r="G27" s="1"/>
    </row>
    <row r="28" spans="1:7" x14ac:dyDescent="0.25">
      <c r="A28" s="1"/>
      <c r="B28" s="27" t="s">
        <v>265</v>
      </c>
      <c r="C28" s="9">
        <v>0</v>
      </c>
      <c r="D28" s="14" t="s">
        <v>3</v>
      </c>
      <c r="E28" s="9">
        <v>0</v>
      </c>
      <c r="F28" s="14" t="s">
        <v>3</v>
      </c>
      <c r="G28" s="1"/>
    </row>
    <row r="29" spans="1:7" x14ac:dyDescent="0.25">
      <c r="A29" s="1"/>
      <c r="B29" s="45" t="s">
        <v>61</v>
      </c>
      <c r="C29" s="12">
        <f>SUM(C28:C28)</f>
        <v>0</v>
      </c>
      <c r="D29" s="13" t="s">
        <v>3</v>
      </c>
      <c r="E29" s="12">
        <f>SUM(E28:E28)</f>
        <v>0</v>
      </c>
      <c r="F29" s="13" t="s">
        <v>3</v>
      </c>
      <c r="G29" s="1"/>
    </row>
    <row r="30" spans="1:7" x14ac:dyDescent="0.25">
      <c r="A30" s="1"/>
      <c r="B30" s="45" t="s">
        <v>152</v>
      </c>
      <c r="C30" s="12">
        <f>C29*(1+'Fane 15. Nøgletal'!C12)^4</f>
        <v>0</v>
      </c>
      <c r="D30" s="13" t="s">
        <v>3</v>
      </c>
      <c r="E30" s="12">
        <f>E29*(1+'Fane 15. Nøgletal'!C12)^4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</sheetData>
  <sheetProtection algorithmName="SHA-512" hashValue="xdTykYOKUxeNj6IWUx2UgYKL+smUz0eN1XPGO4ROjM7IPR4CfEr2kDcaETM4CUbZf5n3Un9m3efYzfUVcmOzAA==" saltValue="Mc88enxATsK3bVX/nEPKYA==" spinCount="100000" sheet="1" objects="1" scenarios="1"/>
  <mergeCells count="5">
    <mergeCell ref="B3:F4"/>
    <mergeCell ref="B8:F8"/>
    <mergeCell ref="B14:F14"/>
    <mergeCell ref="B20:F20"/>
    <mergeCell ref="B26:F2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15.140625" style="2" customWidth="1"/>
    <col min="5" max="5" width="9.140625" style="2"/>
    <col min="6" max="6" width="14.140625" style="2" customWidth="1"/>
    <col min="7" max="7" width="10.28515625" style="2" customWidth="1"/>
    <col min="8" max="8" width="3.140625" style="2" customWidth="1"/>
    <col min="9" max="9" width="9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3" t="s">
        <v>228</v>
      </c>
      <c r="C3" s="73"/>
      <c r="D3" s="73"/>
      <c r="E3" s="73"/>
      <c r="F3" s="73"/>
      <c r="G3" s="73"/>
      <c r="H3" s="73"/>
      <c r="I3" s="1"/>
    </row>
    <row r="4" spans="1:9" ht="15" customHeight="1" x14ac:dyDescent="0.25">
      <c r="A4" s="1"/>
      <c r="B4" s="73"/>
      <c r="C4" s="73"/>
      <c r="D4" s="73"/>
      <c r="E4" s="73"/>
      <c r="F4" s="73"/>
      <c r="G4" s="73"/>
      <c r="H4" s="73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3" t="s">
        <v>18</v>
      </c>
      <c r="C8" s="94"/>
      <c r="D8" s="94"/>
      <c r="E8" s="94"/>
      <c r="F8" s="94"/>
      <c r="G8" s="94"/>
      <c r="H8" s="95"/>
      <c r="I8" s="1"/>
    </row>
    <row r="9" spans="1:9" x14ac:dyDescent="0.25">
      <c r="A9" s="1"/>
      <c r="B9" s="102" t="s">
        <v>12</v>
      </c>
      <c r="C9" s="103"/>
      <c r="D9" s="103"/>
      <c r="E9" s="103"/>
      <c r="F9" s="104"/>
      <c r="G9" s="9">
        <v>-43378850</v>
      </c>
      <c r="H9" s="14" t="s">
        <v>3</v>
      </c>
      <c r="I9" s="1"/>
    </row>
    <row r="10" spans="1:9" x14ac:dyDescent="0.25">
      <c r="A10" s="1"/>
      <c r="B10" s="102" t="s">
        <v>135</v>
      </c>
      <c r="C10" s="103"/>
      <c r="D10" s="103"/>
      <c r="E10" s="103"/>
      <c r="F10" s="104"/>
      <c r="G10" s="9">
        <v>0</v>
      </c>
      <c r="H10" s="14" t="s">
        <v>3</v>
      </c>
      <c r="I10" s="1"/>
    </row>
    <row r="11" spans="1:9" x14ac:dyDescent="0.25">
      <c r="A11" s="1"/>
      <c r="B11" s="102" t="s">
        <v>78</v>
      </c>
      <c r="C11" s="103"/>
      <c r="D11" s="103"/>
      <c r="E11" s="103"/>
      <c r="F11" s="104"/>
      <c r="G11" s="9">
        <v>39385977.513227507</v>
      </c>
      <c r="H11" s="14" t="s">
        <v>3</v>
      </c>
      <c r="I11" s="1"/>
    </row>
    <row r="12" spans="1:9" x14ac:dyDescent="0.25">
      <c r="A12" s="1"/>
      <c r="B12" s="123" t="s">
        <v>15</v>
      </c>
      <c r="C12" s="124"/>
      <c r="D12" s="124"/>
      <c r="E12" s="124"/>
      <c r="F12" s="125"/>
      <c r="G12" s="19">
        <f>(G9+G10)+G11</f>
        <v>-3992872.4867724925</v>
      </c>
      <c r="H12" s="18" t="s">
        <v>3</v>
      </c>
      <c r="I12" s="1"/>
    </row>
    <row r="13" spans="1:9" x14ac:dyDescent="0.25">
      <c r="A13" s="1"/>
      <c r="B13" s="102" t="s">
        <v>13</v>
      </c>
      <c r="C13" s="103"/>
      <c r="D13" s="103"/>
      <c r="E13" s="103"/>
      <c r="F13" s="104"/>
      <c r="G13" s="9">
        <v>1</v>
      </c>
      <c r="H13" s="14" t="s">
        <v>28</v>
      </c>
      <c r="I13" s="1"/>
    </row>
    <row r="14" spans="1:9" x14ac:dyDescent="0.25">
      <c r="A14" s="1"/>
      <c r="B14" s="93" t="s">
        <v>136</v>
      </c>
      <c r="C14" s="94"/>
      <c r="D14" s="94"/>
      <c r="E14" s="94"/>
      <c r="F14" s="95"/>
      <c r="G14" s="12">
        <f>IF(G13 = 0,0,-G12/G13)</f>
        <v>3992872.4867724925</v>
      </c>
      <c r="H14" s="13" t="s">
        <v>3</v>
      </c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HwkoWkcRXuQ1CVuvECCGIuQ3JEp5Pp2asKfAotrRblVWEG+bURiD74cWYu3J+qhct9DfbARidwiAVcYGfwce7w==" saltValue="k6dIwsEzxdL7iPCewlBR8Q==" spinCount="100000" sheet="1" objects="1" scenarios="1"/>
  <mergeCells count="8">
    <mergeCell ref="B13:F13"/>
    <mergeCell ref="B14:F14"/>
    <mergeCell ref="B3:H4"/>
    <mergeCell ref="B8:H8"/>
    <mergeCell ref="B9:F9"/>
    <mergeCell ref="B11:F11"/>
    <mergeCell ref="B12:F12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57.7109375" style="2" customWidth="1"/>
    <col min="3" max="3" width="12.28515625" style="2" bestFit="1" customWidth="1"/>
    <col min="4" max="4" width="3.85546875" style="2" customWidth="1"/>
    <col min="5" max="5" width="6.28515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3" t="s">
        <v>62</v>
      </c>
      <c r="C3" s="73"/>
      <c r="D3" s="73"/>
      <c r="E3" s="1"/>
    </row>
    <row r="4" spans="1:5" ht="15" customHeight="1" x14ac:dyDescent="0.25">
      <c r="A4" s="1"/>
      <c r="B4" s="73"/>
      <c r="C4" s="73"/>
      <c r="D4" s="73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45" t="s">
        <v>20</v>
      </c>
      <c r="C8" s="46"/>
      <c r="D8" s="22"/>
      <c r="E8" s="1"/>
    </row>
    <row r="9" spans="1:5" x14ac:dyDescent="0.25">
      <c r="A9" s="1"/>
      <c r="B9" s="44" t="s">
        <v>35</v>
      </c>
      <c r="C9" s="7">
        <f>'Fane 3. Omkostninger i ØR2019'!E20</f>
        <v>254518824.72750637</v>
      </c>
      <c r="D9" s="8" t="s">
        <v>3</v>
      </c>
      <c r="E9" s="1"/>
    </row>
    <row r="10" spans="1:5" x14ac:dyDescent="0.25">
      <c r="A10" s="1"/>
      <c r="B10" s="49" t="s">
        <v>205</v>
      </c>
      <c r="C10" s="7">
        <f>SUM('Fane 3. Omkostninger i ØR2019'!E10,'Fane 3. Omkostninger i ØR2019'!E12,'Fane 3. Omkostninger i ØR2019'!E14)*(1-'Fane 15. Nøgletal'!C25-'Fane 5. Individuelt eff. krav'!G10)*(1+'Fane 15. Nøgletal'!C11)</f>
        <v>1598264.6223178247</v>
      </c>
      <c r="D10" s="8" t="s">
        <v>3</v>
      </c>
      <c r="E10" s="1"/>
    </row>
    <row r="11" spans="1:5" x14ac:dyDescent="0.25">
      <c r="A11" s="1"/>
      <c r="B11" s="49" t="s">
        <v>206</v>
      </c>
      <c r="C11" s="7">
        <f>SUM('Fane 3. Omkostninger i ØR2019'!E11,'Fane 3. Omkostninger i ØR2019'!E13,'Fane 3. Omkostninger i ØR2019'!E15)*(1-'Fane 15. Nøgletal'!C19-'Fane 5. Individuelt eff. krav'!G10)*(1+'Fane 15. Nøgletal'!C11)</f>
        <v>2285499.6263698349</v>
      </c>
      <c r="D11" s="8" t="s">
        <v>3</v>
      </c>
      <c r="E11" s="1"/>
    </row>
    <row r="12" spans="1:5" ht="17.100000000000001" customHeight="1" x14ac:dyDescent="0.25">
      <c r="A12" s="1"/>
      <c r="B12" s="50" t="s">
        <v>64</v>
      </c>
      <c r="C12" s="7">
        <f>'Fane 10.1. Varige tillæg'!C13</f>
        <v>0</v>
      </c>
      <c r="D12" s="8" t="s">
        <v>3</v>
      </c>
      <c r="E12" s="1"/>
    </row>
    <row r="13" spans="1:5" ht="17.100000000000001" customHeight="1" x14ac:dyDescent="0.25">
      <c r="A13" s="1"/>
      <c r="B13" s="50" t="s">
        <v>65</v>
      </c>
      <c r="C13" s="9">
        <f>'Fane 10.1. Varige tillæg'!E13</f>
        <v>2689987.69429038</v>
      </c>
      <c r="D13" s="8" t="s">
        <v>3</v>
      </c>
      <c r="E13" s="1"/>
    </row>
    <row r="14" spans="1:5" ht="17.100000000000001" customHeight="1" x14ac:dyDescent="0.25">
      <c r="A14" s="1"/>
      <c r="B14" s="50" t="s">
        <v>42</v>
      </c>
      <c r="C14" s="9">
        <f>-'Fane 13. Bortfald'!C12</f>
        <v>0</v>
      </c>
      <c r="D14" s="8" t="s">
        <v>3</v>
      </c>
      <c r="E14" s="1"/>
    </row>
    <row r="15" spans="1:5" ht="17.100000000000001" customHeight="1" x14ac:dyDescent="0.25">
      <c r="A15" s="1"/>
      <c r="B15" s="50" t="s">
        <v>41</v>
      </c>
      <c r="C15" s="9">
        <f>-'Fane 13. Bortfald'!E12</f>
        <v>0</v>
      </c>
      <c r="D15" s="8" t="s">
        <v>3</v>
      </c>
      <c r="E15" s="1"/>
    </row>
    <row r="16" spans="1:5" ht="17.100000000000001" customHeight="1" x14ac:dyDescent="0.25">
      <c r="A16" s="1"/>
      <c r="B16" s="50" t="s">
        <v>44</v>
      </c>
      <c r="C16" s="9">
        <f>'Fane 12. Tilknyttet aktivitet'!C12</f>
        <v>0</v>
      </c>
      <c r="D16" s="8" t="s">
        <v>3</v>
      </c>
      <c r="E16" s="1"/>
    </row>
    <row r="17" spans="1:5" ht="17.100000000000001" customHeight="1" x14ac:dyDescent="0.25">
      <c r="A17" s="1"/>
      <c r="B17" s="50" t="s">
        <v>43</v>
      </c>
      <c r="C17" s="9">
        <f>'Fane 12. Tilknyttet aktivitet'!E12</f>
        <v>0</v>
      </c>
      <c r="D17" s="8" t="s">
        <v>3</v>
      </c>
      <c r="E17" s="1"/>
    </row>
    <row r="18" spans="1:5" ht="17.100000000000001" customHeight="1" x14ac:dyDescent="0.25">
      <c r="A18" s="1"/>
      <c r="B18" s="50" t="s">
        <v>27</v>
      </c>
      <c r="C18" s="9">
        <f>(C9-SUM(C10:C11))*'Fane 15. Nøgletal'!C10+SUM(C10:C11)*'Fane 15. Nøgletal'!C11+SUM('Fane 2.1. Økonomisk ramme 2020'!C12:C17)*'Fane 15. Nøgletal'!C12</f>
        <v>4504741.9317596704</v>
      </c>
      <c r="D18" s="8" t="s">
        <v>3</v>
      </c>
      <c r="E18" s="1"/>
    </row>
    <row r="19" spans="1:5" ht="17.100000000000001" customHeight="1" x14ac:dyDescent="0.25">
      <c r="A19" s="1"/>
      <c r="B19" s="50" t="s">
        <v>10</v>
      </c>
      <c r="C19" s="9">
        <f>-SUM(C9,C12:C18)*'Fane 5. Individuelt eff. krav'!G10</f>
        <v>0</v>
      </c>
      <c r="D19" s="8" t="s">
        <v>3</v>
      </c>
      <c r="E19" s="1"/>
    </row>
    <row r="20" spans="1:5" ht="17.100000000000001" customHeight="1" x14ac:dyDescent="0.25">
      <c r="A20" s="1"/>
      <c r="B20" s="50" t="s">
        <v>39</v>
      </c>
      <c r="C20" s="9">
        <f>-'Fane 4.1. Gen. krav - drift'!G28</f>
        <v>-1778765.0714165501</v>
      </c>
      <c r="D20" s="8" t="s">
        <v>3</v>
      </c>
      <c r="E20" s="1"/>
    </row>
    <row r="21" spans="1:5" ht="17.100000000000001" customHeight="1" x14ac:dyDescent="0.25">
      <c r="A21" s="1"/>
      <c r="B21" s="50" t="s">
        <v>40</v>
      </c>
      <c r="C21" s="9">
        <f>-'Fane 4.2. Gen. krav - anlæg'!G26</f>
        <v>-3069086.4630175596</v>
      </c>
      <c r="D21" s="8" t="s">
        <v>3</v>
      </c>
      <c r="E21" s="1"/>
    </row>
    <row r="22" spans="1:5" ht="17.100000000000001" customHeight="1" x14ac:dyDescent="0.25">
      <c r="A22" s="1"/>
      <c r="B22" s="36" t="s">
        <v>29</v>
      </c>
      <c r="C22" s="10">
        <f>SUM(C9,C12:C21)</f>
        <v>256865702.81912228</v>
      </c>
      <c r="D22" s="11" t="s">
        <v>3</v>
      </c>
      <c r="E22" s="1"/>
    </row>
    <row r="23" spans="1:5" ht="15" customHeight="1" x14ac:dyDescent="0.25">
      <c r="A23" s="1"/>
      <c r="B23" s="45" t="s">
        <v>17</v>
      </c>
      <c r="C23" s="46"/>
      <c r="D23" s="22"/>
      <c r="E23" s="1"/>
    </row>
    <row r="24" spans="1:5" ht="15" customHeight="1" x14ac:dyDescent="0.25">
      <c r="A24" s="1"/>
      <c r="B24" s="41" t="s">
        <v>17</v>
      </c>
      <c r="C24" s="10">
        <f>'Fane 6. Ikke-påvirkelige omk.'!C16+'Fane 6. Ikke-påvirkelige omk.'!C20+'Fane 6. Ikke-påvirkelige omk.'!C28</f>
        <v>22835426.753953442</v>
      </c>
      <c r="D24" s="11" t="s">
        <v>3</v>
      </c>
      <c r="E24" s="1"/>
    </row>
    <row r="25" spans="1:5" ht="15" customHeight="1" x14ac:dyDescent="0.25">
      <c r="A25" s="1"/>
      <c r="B25" s="45" t="s">
        <v>143</v>
      </c>
      <c r="C25" s="46"/>
      <c r="D25" s="22"/>
      <c r="E25" s="1"/>
    </row>
    <row r="26" spans="1:5" ht="15" customHeight="1" x14ac:dyDescent="0.25">
      <c r="A26" s="1"/>
      <c r="B26" s="36" t="s">
        <v>143</v>
      </c>
      <c r="C26" s="10">
        <f>'Fane 11. Periodevise driftsomk.'!E12</f>
        <v>0</v>
      </c>
      <c r="D26" s="11" t="s">
        <v>3</v>
      </c>
      <c r="E26" s="1"/>
    </row>
    <row r="27" spans="1:5" ht="15" customHeight="1" x14ac:dyDescent="0.25">
      <c r="A27" s="1"/>
      <c r="B27" s="45" t="s">
        <v>142</v>
      </c>
      <c r="C27" s="46"/>
      <c r="D27" s="22"/>
      <c r="E27" s="1"/>
    </row>
    <row r="28" spans="1:5" ht="15" customHeight="1" x14ac:dyDescent="0.25">
      <c r="A28" s="1"/>
      <c r="B28" s="50" t="s">
        <v>138</v>
      </c>
      <c r="C28" s="9">
        <f>'Fane 10.2. Engangstillæg'!C14</f>
        <v>0</v>
      </c>
      <c r="D28" s="8" t="s">
        <v>3</v>
      </c>
      <c r="E28" s="1"/>
    </row>
    <row r="29" spans="1:5" ht="15" customHeight="1" x14ac:dyDescent="0.25">
      <c r="A29" s="1"/>
      <c r="B29" s="50" t="s">
        <v>139</v>
      </c>
      <c r="C29" s="9">
        <f>'Fane 10.2. Engangstillæg'!E14</f>
        <v>0</v>
      </c>
      <c r="D29" s="8" t="s">
        <v>3</v>
      </c>
      <c r="E29" s="1"/>
    </row>
    <row r="30" spans="1:5" x14ac:dyDescent="0.25">
      <c r="A30" s="1"/>
      <c r="B30" s="36" t="s">
        <v>145</v>
      </c>
      <c r="C30" s="10">
        <f>SUM(C28:C29)</f>
        <v>0</v>
      </c>
      <c r="D30" s="11" t="s">
        <v>3</v>
      </c>
      <c r="E30" s="1"/>
    </row>
    <row r="31" spans="1:5" x14ac:dyDescent="0.25">
      <c r="A31" s="1"/>
      <c r="B31" s="45" t="s">
        <v>11</v>
      </c>
      <c r="C31" s="46"/>
      <c r="D31" s="22"/>
      <c r="E31" s="1"/>
    </row>
    <row r="32" spans="1:5" ht="15" customHeight="1" x14ac:dyDescent="0.25">
      <c r="A32" s="1"/>
      <c r="B32" s="41" t="s">
        <v>19</v>
      </c>
      <c r="C32" s="10">
        <f>'Fane 14. Hist. over-underdæk.'!G14</f>
        <v>3992872.4867724925</v>
      </c>
      <c r="D32" s="11" t="s">
        <v>3</v>
      </c>
      <c r="E32" s="1"/>
    </row>
    <row r="33" spans="1:5" ht="15" customHeight="1" x14ac:dyDescent="0.25">
      <c r="A33" s="1"/>
      <c r="B33" s="45" t="s">
        <v>258</v>
      </c>
      <c r="C33" s="46"/>
      <c r="D33" s="22"/>
      <c r="E33" s="1"/>
    </row>
    <row r="34" spans="1:5" x14ac:dyDescent="0.25">
      <c r="A34" s="1"/>
      <c r="B34" s="41" t="s">
        <v>259</v>
      </c>
      <c r="C34" s="10">
        <f>'Fane 8. Korrektioner'!E20</f>
        <v>0</v>
      </c>
      <c r="D34" s="11" t="s">
        <v>3</v>
      </c>
      <c r="E34" s="1"/>
    </row>
    <row r="35" spans="1:5" x14ac:dyDescent="0.25">
      <c r="A35" s="1"/>
      <c r="B35" s="45" t="s">
        <v>36</v>
      </c>
      <c r="C35" s="12">
        <f>SUM(C22,C24,C26,C30,C32,C34)</f>
        <v>283694002.05984819</v>
      </c>
      <c r="D35" s="13" t="s">
        <v>3</v>
      </c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KnBl0d1QDbHgV/XZhf/Jf3f89sYC1GZR4qCb3TYTEVo7//WPE4P6N/a4+H5tFVSBi8/rfe5QFYLTw4cp3jIvSg==" saltValue="ccnCl7YS58mtPGM/M9ZqUA==" spinCount="100000" sheet="1" objects="1" scenarios="1"/>
  <mergeCells count="1">
    <mergeCell ref="B3:D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0"/>
  <dimension ref="A1:D49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54.42578125" style="2" customWidth="1"/>
    <col min="3" max="3" width="6.28515625" style="2" customWidth="1"/>
    <col min="4" max="4" width="12.28515625" style="2" customWidth="1"/>
    <col min="5" max="16384" width="9.1406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5">
      <c r="A3" s="1"/>
      <c r="B3" s="84" t="s">
        <v>208</v>
      </c>
      <c r="C3" s="84"/>
      <c r="D3" s="1"/>
    </row>
    <row r="4" spans="1:4" ht="25.5" customHeight="1" x14ac:dyDescent="0.25">
      <c r="A4" s="1"/>
      <c r="B4" s="84"/>
      <c r="C4" s="84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45" t="s">
        <v>21</v>
      </c>
      <c r="C8" s="22"/>
      <c r="D8" s="1"/>
    </row>
    <row r="9" spans="1:4" x14ac:dyDescent="0.25">
      <c r="A9" s="1"/>
      <c r="B9" s="47" t="s">
        <v>236</v>
      </c>
      <c r="C9" s="28">
        <v>1.2699999999999999E-2</v>
      </c>
      <c r="D9" s="1"/>
    </row>
    <row r="10" spans="1:4" x14ac:dyDescent="0.25">
      <c r="A10" s="1"/>
      <c r="B10" s="47" t="s">
        <v>237</v>
      </c>
      <c r="C10" s="28">
        <v>1.7500000000000002E-2</v>
      </c>
      <c r="D10" s="1"/>
    </row>
    <row r="11" spans="1:4" x14ac:dyDescent="0.25">
      <c r="A11" s="1"/>
      <c r="B11" s="47" t="s">
        <v>31</v>
      </c>
      <c r="C11" s="28">
        <v>1.6899999999999998E-2</v>
      </c>
      <c r="D11" s="1"/>
    </row>
    <row r="12" spans="1:4" x14ac:dyDescent="0.25">
      <c r="A12" s="1"/>
      <c r="B12" s="32" t="s">
        <v>70</v>
      </c>
      <c r="C12" s="33">
        <v>1.9699999999999999E-2</v>
      </c>
      <c r="D12" s="1"/>
    </row>
    <row r="13" spans="1:4" x14ac:dyDescent="0.25">
      <c r="A13" s="1"/>
      <c r="B13" s="45"/>
      <c r="C13" s="22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45" t="s">
        <v>204</v>
      </c>
      <c r="C16" s="22"/>
      <c r="D16" s="1"/>
    </row>
    <row r="17" spans="1:4" x14ac:dyDescent="0.25">
      <c r="A17" s="1"/>
      <c r="B17" s="47" t="s">
        <v>238</v>
      </c>
      <c r="C17" s="25">
        <v>9.1000000000000004E-3</v>
      </c>
      <c r="D17" s="1"/>
    </row>
    <row r="18" spans="1:4" x14ac:dyDescent="0.25">
      <c r="A18" s="1"/>
      <c r="B18" s="47" t="s">
        <v>240</v>
      </c>
      <c r="C18" s="25">
        <v>1.77E-2</v>
      </c>
      <c r="D18" s="1"/>
    </row>
    <row r="19" spans="1:4" x14ac:dyDescent="0.25">
      <c r="A19" s="1"/>
      <c r="B19" s="47" t="s">
        <v>239</v>
      </c>
      <c r="C19" s="25">
        <v>8.6999999999999994E-3</v>
      </c>
      <c r="D19" s="1"/>
    </row>
    <row r="20" spans="1:4" x14ac:dyDescent="0.25">
      <c r="A20" s="1"/>
      <c r="B20" s="47" t="s">
        <v>241</v>
      </c>
      <c r="C20" s="34">
        <v>2.8400000000000002E-2</v>
      </c>
      <c r="D20" s="1"/>
    </row>
    <row r="21" spans="1:4" x14ac:dyDescent="0.25">
      <c r="A21" s="1"/>
      <c r="B21" s="45"/>
      <c r="C21" s="22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45" t="s">
        <v>203</v>
      </c>
      <c r="C24" s="22"/>
      <c r="D24" s="1"/>
    </row>
    <row r="25" spans="1:4" x14ac:dyDescent="0.25">
      <c r="A25" s="1"/>
      <c r="B25" s="47" t="s">
        <v>242</v>
      </c>
      <c r="C25" s="28">
        <v>0.02</v>
      </c>
      <c r="D25" s="1"/>
    </row>
    <row r="26" spans="1:4" x14ac:dyDescent="0.25">
      <c r="A26" s="1"/>
      <c r="B26" s="45"/>
      <c r="C26" s="22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</sheetData>
  <sheetProtection algorithmName="SHA-512" hashValue="oeFS+BZP8Wvo5beVVkmIZbhQJZiqYrSkEkgIkkpdvWfDN5IjDIA0IlXxtvt3aFTPjqCmby+9BKAhzGo9ClGHEg==" saltValue="LFUDeQvftxytq6Rd9XB5xA==" spinCount="100000" sheet="1" objects="1" scenarios="1"/>
  <mergeCells count="1">
    <mergeCell ref="B3:C4"/>
  </mergeCells>
  <pageMargins left="0.8125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E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710937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3" t="s">
        <v>82</v>
      </c>
      <c r="C3" s="73"/>
      <c r="D3" s="73"/>
      <c r="E3" s="1"/>
    </row>
    <row r="4" spans="1:5" ht="15" customHeight="1" x14ac:dyDescent="0.25">
      <c r="A4" s="1"/>
      <c r="B4" s="73"/>
      <c r="C4" s="73"/>
      <c r="D4" s="73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45" t="s">
        <v>20</v>
      </c>
      <c r="C8" s="46"/>
      <c r="D8" s="22"/>
      <c r="E8" s="1"/>
    </row>
    <row r="9" spans="1:5" ht="15" customHeight="1" x14ac:dyDescent="0.25">
      <c r="A9" s="1"/>
      <c r="B9" s="44" t="s">
        <v>37</v>
      </c>
      <c r="C9" s="7">
        <f>'Fane 2.1. Økonomisk ramme 2020'!C22</f>
        <v>256865702.81912228</v>
      </c>
      <c r="D9" s="8" t="s">
        <v>3</v>
      </c>
      <c r="E9" s="1"/>
    </row>
    <row r="10" spans="1:5" ht="15" customHeight="1" x14ac:dyDescent="0.25">
      <c r="A10" s="1"/>
      <c r="B10" s="49" t="s">
        <v>205</v>
      </c>
      <c r="C10" s="7">
        <f>'Fane 2.1. Økonomisk ramme 2020'!C10*(1-'Fane 15. Nøgletal'!C25-'Fane 5. Individuelt eff. krav'!G10)*(1+'Fane 15. Nøgletal'!C11)</f>
        <v>1592769.7885462958</v>
      </c>
      <c r="D10" s="8" t="s">
        <v>3</v>
      </c>
      <c r="E10" s="1"/>
    </row>
    <row r="11" spans="1:5" ht="15" customHeight="1" x14ac:dyDescent="0.25">
      <c r="A11" s="1"/>
      <c r="B11" s="49" t="s">
        <v>206</v>
      </c>
      <c r="C11" s="7">
        <f>'Fane 2.1. Økonomisk ramme 2020'!C11*(1-'Fane 15. Nøgletal'!C19-'Fane 5. Individuelt eff. krav'!G10)*(1+'Fane 15. Nøgletal'!C11)</f>
        <v>2303904.6862960025</v>
      </c>
      <c r="D11" s="8" t="s">
        <v>3</v>
      </c>
      <c r="E11" s="1"/>
    </row>
    <row r="12" spans="1:5" ht="15" customHeight="1" x14ac:dyDescent="0.25">
      <c r="A12" s="1"/>
      <c r="B12" s="49" t="s">
        <v>213</v>
      </c>
      <c r="C12" s="7">
        <f>('Fane 2.1. Økonomisk ramme 2020'!C12+'Fane 2.1. Økonomisk ramme 2020'!C14+'Fane 2.1. Økonomisk ramme 2020'!C16)*(1-'Fane 15. Nøgletal'!C25-'Fane 5. Individuelt eff. krav'!G10)*(1+'Fane 15. Nøgletal'!C12)</f>
        <v>0</v>
      </c>
      <c r="D12" s="8" t="s">
        <v>3</v>
      </c>
      <c r="E12" s="1"/>
    </row>
    <row r="13" spans="1:5" ht="15" customHeight="1" x14ac:dyDescent="0.25">
      <c r="A13" s="1"/>
      <c r="B13" s="49" t="s">
        <v>217</v>
      </c>
      <c r="C13" s="7">
        <f>('Fane 2.1. Økonomisk ramme 2020'!C13+'Fane 2.1. Økonomisk ramme 2020'!C15+'Fane 2.1. Økonomisk ramme 2020'!C17)*(1-'Fane 15. Nøgletal'!C20-'Fane 5. Individuelt eff. krav'!G10)*(1+'Fane 15. Nøgletal'!C12)</f>
        <v>2665079.807034852</v>
      </c>
      <c r="D13" s="8" t="s">
        <v>3</v>
      </c>
      <c r="E13" s="1"/>
    </row>
    <row r="14" spans="1:5" ht="15" customHeight="1" x14ac:dyDescent="0.25">
      <c r="A14" s="1"/>
      <c r="B14" s="50" t="s">
        <v>42</v>
      </c>
      <c r="C14" s="7">
        <f>-'Fane 13. Bortfald'!C18</f>
        <v>0</v>
      </c>
      <c r="D14" s="8" t="s">
        <v>3</v>
      </c>
      <c r="E14" s="1"/>
    </row>
    <row r="15" spans="1:5" ht="15" customHeight="1" x14ac:dyDescent="0.25">
      <c r="A15" s="1"/>
      <c r="B15" s="50" t="s">
        <v>41</v>
      </c>
      <c r="C15" s="7">
        <f>-'Fane 13. Bortfald'!E18</f>
        <v>0</v>
      </c>
      <c r="D15" s="8" t="s">
        <v>3</v>
      </c>
      <c r="E15" s="1"/>
    </row>
    <row r="16" spans="1:5" ht="15" customHeight="1" x14ac:dyDescent="0.25">
      <c r="A16" s="1"/>
      <c r="B16" s="37" t="s">
        <v>27</v>
      </c>
      <c r="C16" s="9">
        <f>(C9-SUM(C10:C13))*'Fane 15. Nøgletal'!C10+SUM(C10:C11)*'Fane 15. Nøgletal'!C11+SUM(C12:C15)*'Fane 15. Nøgletal'!C12</f>
        <v>4498674.9702252112</v>
      </c>
      <c r="D16" s="8" t="s">
        <v>3</v>
      </c>
      <c r="E16" s="1"/>
    </row>
    <row r="17" spans="1:5" ht="15" customHeight="1" x14ac:dyDescent="0.25">
      <c r="A17" s="1"/>
      <c r="B17" s="37" t="s">
        <v>10</v>
      </c>
      <c r="C17" s="9">
        <f>-SUM(C9,C14:C16)*'Fane 5. Individuelt eff. krav'!G10</f>
        <v>0</v>
      </c>
      <c r="D17" s="8" t="s">
        <v>3</v>
      </c>
      <c r="E17" s="1"/>
    </row>
    <row r="18" spans="1:5" ht="15" customHeight="1" x14ac:dyDescent="0.25">
      <c r="A18" s="1"/>
      <c r="B18" s="37" t="s">
        <v>39</v>
      </c>
      <c r="C18" s="9">
        <f>-'Fane 4.1. Gen. krav - drift'!G36</f>
        <v>-1773676.4777255503</v>
      </c>
      <c r="D18" s="8" t="s">
        <v>3</v>
      </c>
      <c r="E18" s="1"/>
    </row>
    <row r="19" spans="1:5" ht="15" customHeight="1" x14ac:dyDescent="0.25">
      <c r="A19" s="1"/>
      <c r="B19" s="37" t="s">
        <v>40</v>
      </c>
      <c r="C19" s="9">
        <f>-'Fane 4.2. Gen. krav - anlæg'!G34</f>
        <v>-3067013.5237869867</v>
      </c>
      <c r="D19" s="8" t="s">
        <v>3</v>
      </c>
      <c r="E19" s="1"/>
    </row>
    <row r="20" spans="1:5" ht="15" customHeight="1" x14ac:dyDescent="0.25">
      <c r="A20" s="1"/>
      <c r="B20" s="38" t="s">
        <v>29</v>
      </c>
      <c r="C20" s="10">
        <f>SUM(C9,C14:C19)</f>
        <v>256523687.78783497</v>
      </c>
      <c r="D20" s="11" t="s">
        <v>3</v>
      </c>
      <c r="E20" s="1"/>
    </row>
    <row r="21" spans="1:5" x14ac:dyDescent="0.25">
      <c r="A21" s="1"/>
      <c r="B21" s="45" t="s">
        <v>17</v>
      </c>
      <c r="C21" s="46"/>
      <c r="D21" s="22"/>
      <c r="E21" s="1"/>
    </row>
    <row r="22" spans="1:5" ht="15" customHeight="1" x14ac:dyDescent="0.25">
      <c r="A22" s="1"/>
      <c r="B22" s="41" t="s">
        <v>17</v>
      </c>
      <c r="C22" s="10">
        <f>'Fane 6. Ikke-påvirkelige omk.'!C16*(1+'Fane 15. Nøgletal'!C12)+'Fane 6. Ikke-påvirkelige omk.'!C21+'Fane 6. Ikke-påvirkelige omk.'!C29</f>
        <v>23285284.661006328</v>
      </c>
      <c r="D22" s="11" t="s">
        <v>3</v>
      </c>
      <c r="E22" s="1"/>
    </row>
    <row r="23" spans="1:5" ht="15" customHeight="1" x14ac:dyDescent="0.25">
      <c r="A23" s="1"/>
      <c r="B23" s="45" t="s">
        <v>143</v>
      </c>
      <c r="C23" s="46"/>
      <c r="D23" s="22"/>
      <c r="E23" s="1"/>
    </row>
    <row r="24" spans="1:5" ht="15" customHeight="1" x14ac:dyDescent="0.25">
      <c r="A24" s="1"/>
      <c r="B24" s="36" t="s">
        <v>144</v>
      </c>
      <c r="C24" s="10">
        <f>'Fane 11. Periodevise driftsomk.'!E18</f>
        <v>0</v>
      </c>
      <c r="D24" s="11" t="s">
        <v>3</v>
      </c>
      <c r="E24" s="1"/>
    </row>
    <row r="25" spans="1:5" ht="15" customHeight="1" x14ac:dyDescent="0.25">
      <c r="A25" s="1"/>
      <c r="B25" s="45" t="s">
        <v>142</v>
      </c>
      <c r="C25" s="46"/>
      <c r="D25" s="22"/>
      <c r="E25" s="1"/>
    </row>
    <row r="26" spans="1:5" ht="15" customHeight="1" x14ac:dyDescent="0.25">
      <c r="A26" s="1"/>
      <c r="B26" s="50" t="s">
        <v>138</v>
      </c>
      <c r="C26" s="9">
        <f>'Fane 10.2. Engangstillæg'!C22</f>
        <v>0</v>
      </c>
      <c r="D26" s="8" t="s">
        <v>3</v>
      </c>
      <c r="E26" s="1"/>
    </row>
    <row r="27" spans="1:5" ht="15" customHeight="1" x14ac:dyDescent="0.25">
      <c r="A27" s="1"/>
      <c r="B27" s="50" t="s">
        <v>139</v>
      </c>
      <c r="C27" s="9">
        <f>'Fane 10.2. Engangstillæg'!E22</f>
        <v>0</v>
      </c>
      <c r="D27" s="8" t="s">
        <v>3</v>
      </c>
      <c r="E27" s="1"/>
    </row>
    <row r="28" spans="1:5" ht="15" customHeight="1" x14ac:dyDescent="0.25">
      <c r="A28" s="1"/>
      <c r="B28" s="36" t="s">
        <v>145</v>
      </c>
      <c r="C28" s="10">
        <f>SUM(C26:C27)</f>
        <v>0</v>
      </c>
      <c r="D28" s="11" t="s">
        <v>3</v>
      </c>
      <c r="E28" s="1"/>
    </row>
    <row r="29" spans="1:5" x14ac:dyDescent="0.25">
      <c r="A29" s="1"/>
      <c r="B29" s="45" t="s">
        <v>45</v>
      </c>
      <c r="C29" s="12">
        <f>SUM(C20,C22,C24,C28,)</f>
        <v>279808972.44884127</v>
      </c>
      <c r="D29" s="13" t="s">
        <v>3</v>
      </c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</sheetData>
  <sheetProtection algorithmName="SHA-512" hashValue="GjC+RigEGoeSryEpowenlW0TIKXXjSZPNPTH+SyRhz2/wbu+GTaaNgqs5rXahZny5nTY4tvdpcnqNgocGERXgQ==" saltValue="QV3pPyTCRW3Fx5d0nh6c5g==" spinCount="100000" sheet="1" objects="1" scenarios="1"/>
  <mergeCells count="1">
    <mergeCell ref="B3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E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3" t="s">
        <v>215</v>
      </c>
      <c r="C3" s="73"/>
      <c r="D3" s="73"/>
      <c r="E3" s="1"/>
    </row>
    <row r="4" spans="1:5" ht="15" customHeight="1" x14ac:dyDescent="0.25">
      <c r="A4" s="1"/>
      <c r="B4" s="73"/>
      <c r="C4" s="73"/>
      <c r="D4" s="73"/>
      <c r="E4" s="1"/>
    </row>
    <row r="5" spans="1:5" x14ac:dyDescent="0.25">
      <c r="A5" s="1"/>
      <c r="B5" s="74" t="s">
        <v>30</v>
      </c>
      <c r="C5" s="74"/>
      <c r="D5" s="74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45" t="s">
        <v>20</v>
      </c>
      <c r="C7" s="46"/>
      <c r="D7" s="22"/>
      <c r="E7" s="1"/>
    </row>
    <row r="8" spans="1:5" ht="15" customHeight="1" x14ac:dyDescent="0.25">
      <c r="A8" s="1"/>
      <c r="B8" s="44" t="s">
        <v>38</v>
      </c>
      <c r="C8" s="7">
        <f>'Fane 2.2. Økonomisk ramme 2021'!C20</f>
        <v>256523687.78783497</v>
      </c>
      <c r="D8" s="8" t="s">
        <v>3</v>
      </c>
      <c r="E8" s="1"/>
    </row>
    <row r="9" spans="1:5" ht="15" customHeight="1" x14ac:dyDescent="0.25">
      <c r="A9" s="1"/>
      <c r="B9" s="44" t="s">
        <v>42</v>
      </c>
      <c r="C9" s="7">
        <f>-'Fane 13. Bortfald'!C24</f>
        <v>0</v>
      </c>
      <c r="D9" s="8" t="s">
        <v>3</v>
      </c>
      <c r="E9" s="1"/>
    </row>
    <row r="10" spans="1:5" ht="15" customHeight="1" x14ac:dyDescent="0.25">
      <c r="A10" s="1"/>
      <c r="B10" s="44" t="s">
        <v>41</v>
      </c>
      <c r="C10" s="7">
        <f>-'Fane 13. Bortfald'!E24</f>
        <v>0</v>
      </c>
      <c r="D10" s="8" t="s">
        <v>3</v>
      </c>
      <c r="E10" s="1"/>
    </row>
    <row r="11" spans="1:5" ht="15" customHeight="1" x14ac:dyDescent="0.25">
      <c r="A11" s="1"/>
      <c r="B11" s="37" t="s">
        <v>27</v>
      </c>
      <c r="C11" s="9">
        <f>SUM(C8:C10)*'Fane 15. Nøgletal'!C12</f>
        <v>5053516.6494203489</v>
      </c>
      <c r="D11" s="8" t="s">
        <v>3</v>
      </c>
      <c r="E11" s="1"/>
    </row>
    <row r="12" spans="1:5" ht="15" customHeight="1" x14ac:dyDescent="0.25">
      <c r="A12" s="1"/>
      <c r="B12" s="37" t="s">
        <v>10</v>
      </c>
      <c r="C12" s="9">
        <f>-SUM(C8:C11)*'Fane 5. Individuelt eff. krav'!G10</f>
        <v>0</v>
      </c>
      <c r="D12" s="8" t="s">
        <v>3</v>
      </c>
      <c r="E12" s="1"/>
    </row>
    <row r="13" spans="1:5" ht="15" customHeight="1" x14ac:dyDescent="0.25">
      <c r="A13" s="1"/>
      <c r="B13" s="37" t="s">
        <v>39</v>
      </c>
      <c r="C13" s="9">
        <f>-'Fane 4.1. Gen. krav - drift'!G42</f>
        <v>-1772445.5462500087</v>
      </c>
      <c r="D13" s="8" t="s">
        <v>3</v>
      </c>
      <c r="E13" s="1"/>
    </row>
    <row r="14" spans="1:5" ht="15" customHeight="1" x14ac:dyDescent="0.25">
      <c r="A14" s="1"/>
      <c r="B14" s="37" t="s">
        <v>40</v>
      </c>
      <c r="C14" s="9">
        <f>-'Fane 4.2. Gen. krav - anlæg'!G40</f>
        <v>-4916133.2232856769</v>
      </c>
      <c r="D14" s="8" t="s">
        <v>3</v>
      </c>
      <c r="E14" s="1"/>
    </row>
    <row r="15" spans="1:5" x14ac:dyDescent="0.25">
      <c r="A15" s="1"/>
      <c r="B15" s="38" t="s">
        <v>29</v>
      </c>
      <c r="C15" s="10">
        <f>SUM(C8:C14)</f>
        <v>254888625.66771963</v>
      </c>
      <c r="D15" s="11" t="s">
        <v>3</v>
      </c>
      <c r="E15" s="1"/>
    </row>
    <row r="16" spans="1:5" x14ac:dyDescent="0.25">
      <c r="A16" s="1"/>
      <c r="B16" s="45" t="s">
        <v>17</v>
      </c>
      <c r="C16" s="46"/>
      <c r="D16" s="22"/>
      <c r="E16" s="1"/>
    </row>
    <row r="17" spans="1:5" ht="15" customHeight="1" x14ac:dyDescent="0.25">
      <c r="A17" s="1"/>
      <c r="B17" s="41" t="s">
        <v>17</v>
      </c>
      <c r="C17" s="10">
        <f>'Fane 6. Ikke-påvirkelige omk.'!C16*(1+'Fane 15. Nøgletal'!C12)^2+'Fane 6. Ikke-påvirkelige omk.'!C22+'Fane 6. Ikke-påvirkelige omk.'!C30</f>
        <v>23744004.76882815</v>
      </c>
      <c r="D17" s="11" t="s">
        <v>3</v>
      </c>
      <c r="E17" s="1"/>
    </row>
    <row r="18" spans="1:5" ht="15" customHeight="1" x14ac:dyDescent="0.25">
      <c r="A18" s="1"/>
      <c r="B18" s="45" t="s">
        <v>143</v>
      </c>
      <c r="C18" s="46"/>
      <c r="D18" s="22"/>
      <c r="E18" s="1"/>
    </row>
    <row r="19" spans="1:5" ht="15" customHeight="1" x14ac:dyDescent="0.25">
      <c r="A19" s="1"/>
      <c r="B19" s="36" t="s">
        <v>144</v>
      </c>
      <c r="C19" s="10">
        <f>'Fane 11. Periodevise driftsomk.'!E24</f>
        <v>0</v>
      </c>
      <c r="D19" s="11" t="s">
        <v>3</v>
      </c>
      <c r="E19" s="1"/>
    </row>
    <row r="20" spans="1:5" ht="15" customHeight="1" x14ac:dyDescent="0.25">
      <c r="A20" s="1"/>
      <c r="B20" s="45" t="s">
        <v>142</v>
      </c>
      <c r="C20" s="46"/>
      <c r="D20" s="22"/>
      <c r="E20" s="1"/>
    </row>
    <row r="21" spans="1:5" ht="15" customHeight="1" x14ac:dyDescent="0.25">
      <c r="A21" s="1"/>
      <c r="B21" s="50" t="s">
        <v>138</v>
      </c>
      <c r="C21" s="9">
        <f>'Fane 10.2. Engangstillæg'!C30</f>
        <v>0</v>
      </c>
      <c r="D21" s="8" t="s">
        <v>3</v>
      </c>
      <c r="E21" s="1"/>
    </row>
    <row r="22" spans="1:5" ht="15" customHeight="1" x14ac:dyDescent="0.25">
      <c r="A22" s="1"/>
      <c r="B22" s="50" t="s">
        <v>139</v>
      </c>
      <c r="C22" s="9">
        <f>'Fane 10.2. Engangstillæg'!E30</f>
        <v>0</v>
      </c>
      <c r="D22" s="8" t="s">
        <v>3</v>
      </c>
      <c r="E22" s="1"/>
    </row>
    <row r="23" spans="1:5" ht="15" customHeight="1" x14ac:dyDescent="0.25">
      <c r="A23" s="1"/>
      <c r="B23" s="36" t="s">
        <v>145</v>
      </c>
      <c r="C23" s="10">
        <f>SUM(C21:C22)</f>
        <v>0</v>
      </c>
      <c r="D23" s="11" t="s">
        <v>3</v>
      </c>
      <c r="E23" s="1"/>
    </row>
    <row r="24" spans="1:5" ht="15" customHeight="1" x14ac:dyDescent="0.25">
      <c r="A24" s="1"/>
      <c r="B24" s="45" t="s">
        <v>171</v>
      </c>
      <c r="C24" s="46"/>
      <c r="D24" s="22"/>
      <c r="E24" s="1"/>
    </row>
    <row r="25" spans="1:5" ht="15" customHeight="1" x14ac:dyDescent="0.25">
      <c r="A25" s="1"/>
      <c r="B25" s="41" t="s">
        <v>211</v>
      </c>
      <c r="C25" s="10">
        <f>'Fane 7. Kontrol af ØR2018'!E28</f>
        <v>0</v>
      </c>
      <c r="D25" s="11" t="s">
        <v>3</v>
      </c>
      <c r="E25" s="1"/>
    </row>
    <row r="26" spans="1:5" x14ac:dyDescent="0.25">
      <c r="A26" s="1"/>
      <c r="B26" s="45" t="s">
        <v>46</v>
      </c>
      <c r="C26" s="12">
        <f>SUM(C15,C17,C19,C23,C25)</f>
        <v>278632630.43654776</v>
      </c>
      <c r="D26" s="13" t="s">
        <v>3</v>
      </c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</sheetData>
  <sheetProtection algorithmName="SHA-512" hashValue="Nt7iZlPKXdnQlQ7K2BOCTqTNGjTCmUfEUEDJXeji+7zAUBCGTjbdDRJQgoychZUINVcGZUiDPm6s6sEFgxraOw==" saltValue="J1h/6v7mjtsj/DcO2qH8AA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E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8554687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3" t="s">
        <v>216</v>
      </c>
      <c r="C3" s="73"/>
      <c r="D3" s="73"/>
      <c r="E3" s="1"/>
    </row>
    <row r="4" spans="1:5" ht="15" customHeight="1" x14ac:dyDescent="0.25">
      <c r="A4" s="1"/>
      <c r="B4" s="73"/>
      <c r="C4" s="73"/>
      <c r="D4" s="73"/>
      <c r="E4" s="1"/>
    </row>
    <row r="5" spans="1:5" x14ac:dyDescent="0.25">
      <c r="A5" s="1"/>
      <c r="B5" s="74" t="s">
        <v>30</v>
      </c>
      <c r="C5" s="74"/>
      <c r="D5" s="74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45" t="s">
        <v>20</v>
      </c>
      <c r="C7" s="46"/>
      <c r="D7" s="22"/>
      <c r="E7" s="1"/>
    </row>
    <row r="8" spans="1:5" ht="15" customHeight="1" x14ac:dyDescent="0.25">
      <c r="A8" s="1"/>
      <c r="B8" s="44" t="s">
        <v>220</v>
      </c>
      <c r="C8" s="7">
        <f>'Fane 2.3. Økonomisk ramme 2022'!C15</f>
        <v>254888625.66771963</v>
      </c>
      <c r="D8" s="8" t="s">
        <v>3</v>
      </c>
      <c r="E8" s="1"/>
    </row>
    <row r="9" spans="1:5" ht="15" customHeight="1" x14ac:dyDescent="0.25">
      <c r="A9" s="1"/>
      <c r="B9" s="44" t="s">
        <v>42</v>
      </c>
      <c r="C9" s="7">
        <f>-'Fane 13. Bortfald'!C30</f>
        <v>0</v>
      </c>
      <c r="D9" s="8" t="s">
        <v>3</v>
      </c>
      <c r="E9" s="1"/>
    </row>
    <row r="10" spans="1:5" ht="15" customHeight="1" x14ac:dyDescent="0.25">
      <c r="A10" s="1"/>
      <c r="B10" s="44" t="s">
        <v>41</v>
      </c>
      <c r="C10" s="7">
        <f>-'Fane 13. Bortfald'!E30</f>
        <v>0</v>
      </c>
      <c r="D10" s="8" t="s">
        <v>3</v>
      </c>
      <c r="E10" s="1"/>
    </row>
    <row r="11" spans="1:5" ht="15" customHeight="1" x14ac:dyDescent="0.25">
      <c r="A11" s="1"/>
      <c r="B11" s="37" t="s">
        <v>27</v>
      </c>
      <c r="C11" s="9">
        <f>C8*'Fane 15. Nøgletal'!C12</f>
        <v>5021305.925654076</v>
      </c>
      <c r="D11" s="8" t="s">
        <v>3</v>
      </c>
      <c r="E11" s="1"/>
    </row>
    <row r="12" spans="1:5" ht="15" customHeight="1" x14ac:dyDescent="0.25">
      <c r="A12" s="1"/>
      <c r="B12" s="37" t="s">
        <v>10</v>
      </c>
      <c r="C12" s="9">
        <f>-SUM(C8:C11)*'Fane 5. Individuelt eff. krav'!G10</f>
        <v>0</v>
      </c>
      <c r="D12" s="8" t="s">
        <v>3</v>
      </c>
      <c r="E12" s="1"/>
    </row>
    <row r="13" spans="1:5" ht="15" customHeight="1" x14ac:dyDescent="0.25">
      <c r="A13" s="1"/>
      <c r="B13" s="37" t="s">
        <v>39</v>
      </c>
      <c r="C13" s="9">
        <f>-'Fane 4.1. Gen. krav - drift'!G48</f>
        <v>-1771215.4690409112</v>
      </c>
      <c r="D13" s="8" t="s">
        <v>3</v>
      </c>
      <c r="E13" s="1"/>
    </row>
    <row r="14" spans="1:5" ht="15" customHeight="1" x14ac:dyDescent="0.25">
      <c r="A14" s="1"/>
      <c r="B14" s="37" t="s">
        <v>40</v>
      </c>
      <c r="C14" s="9">
        <f>-'Fane 4.2. Gen. krav - anlæg'!G46</f>
        <v>-4870612.3860273277</v>
      </c>
      <c r="D14" s="8" t="s">
        <v>3</v>
      </c>
      <c r="E14" s="1"/>
    </row>
    <row r="15" spans="1:5" x14ac:dyDescent="0.25">
      <c r="A15" s="1"/>
      <c r="B15" s="38" t="s">
        <v>29</v>
      </c>
      <c r="C15" s="10">
        <f>SUM(C8:C14)</f>
        <v>253268103.73830548</v>
      </c>
      <c r="D15" s="11" t="s">
        <v>3</v>
      </c>
      <c r="E15" s="1"/>
    </row>
    <row r="16" spans="1:5" x14ac:dyDescent="0.25">
      <c r="A16" s="1"/>
      <c r="B16" s="45" t="s">
        <v>17</v>
      </c>
      <c r="C16" s="46"/>
      <c r="D16" s="22"/>
      <c r="E16" s="1"/>
    </row>
    <row r="17" spans="1:5" ht="15" customHeight="1" x14ac:dyDescent="0.25">
      <c r="A17" s="1"/>
      <c r="B17" s="41" t="s">
        <v>17</v>
      </c>
      <c r="C17" s="10">
        <f>'Fane 6. Ikke-påvirkelige omk.'!C16*(1+'Fane 15. Nøgletal'!C12)^3+'Fane 6. Ikke-påvirkelige omk.'!C23+'Fane 6. Ikke-påvirkelige omk.'!C31</f>
        <v>24211761.662774064</v>
      </c>
      <c r="D17" s="11" t="s">
        <v>3</v>
      </c>
      <c r="E17" s="1"/>
    </row>
    <row r="18" spans="1:5" ht="15" customHeight="1" x14ac:dyDescent="0.25">
      <c r="A18" s="1"/>
      <c r="B18" s="45" t="s">
        <v>143</v>
      </c>
      <c r="C18" s="46"/>
      <c r="D18" s="22"/>
      <c r="E18" s="1"/>
    </row>
    <row r="19" spans="1:5" ht="15" customHeight="1" x14ac:dyDescent="0.25">
      <c r="A19" s="1"/>
      <c r="B19" s="36" t="s">
        <v>144</v>
      </c>
      <c r="C19" s="10">
        <f>'Fane 11. Periodevise driftsomk.'!E30</f>
        <v>0</v>
      </c>
      <c r="D19" s="11" t="s">
        <v>3</v>
      </c>
      <c r="E19" s="1"/>
    </row>
    <row r="20" spans="1:5" ht="15" customHeight="1" x14ac:dyDescent="0.25">
      <c r="A20" s="1"/>
      <c r="B20" s="45" t="s">
        <v>142</v>
      </c>
      <c r="C20" s="46"/>
      <c r="D20" s="22"/>
      <c r="E20" s="1"/>
    </row>
    <row r="21" spans="1:5" ht="15" customHeight="1" x14ac:dyDescent="0.25">
      <c r="A21" s="1"/>
      <c r="B21" s="50" t="s">
        <v>138</v>
      </c>
      <c r="C21" s="9">
        <f>'Fane 10.2. Engangstillæg'!C38</f>
        <v>0</v>
      </c>
      <c r="D21" s="8" t="s">
        <v>3</v>
      </c>
      <c r="E21" s="1"/>
    </row>
    <row r="22" spans="1:5" ht="15" customHeight="1" x14ac:dyDescent="0.25">
      <c r="A22" s="1"/>
      <c r="B22" s="50" t="s">
        <v>139</v>
      </c>
      <c r="C22" s="9">
        <f>'Fane 10.2. Engangstillæg'!E38</f>
        <v>0</v>
      </c>
      <c r="D22" s="8" t="s">
        <v>3</v>
      </c>
      <c r="E22" s="1"/>
    </row>
    <row r="23" spans="1:5" ht="15" customHeight="1" x14ac:dyDescent="0.25">
      <c r="A23" s="1"/>
      <c r="B23" s="36" t="s">
        <v>145</v>
      </c>
      <c r="C23" s="10">
        <f>SUM(C21:C22)</f>
        <v>0</v>
      </c>
      <c r="D23" s="11" t="s">
        <v>3</v>
      </c>
      <c r="E23" s="1"/>
    </row>
    <row r="24" spans="1:5" ht="15" customHeight="1" x14ac:dyDescent="0.25">
      <c r="A24" s="1"/>
      <c r="B24" s="45" t="s">
        <v>171</v>
      </c>
      <c r="C24" s="46"/>
      <c r="D24" s="22"/>
      <c r="E24" s="1"/>
    </row>
    <row r="25" spans="1:5" ht="15" customHeight="1" x14ac:dyDescent="0.25">
      <c r="A25" s="1"/>
      <c r="B25" s="41" t="s">
        <v>211</v>
      </c>
      <c r="C25" s="10">
        <f>'Fane 2.3. Økonomisk ramme 2022'!C25</f>
        <v>0</v>
      </c>
      <c r="D25" s="11" t="s">
        <v>3</v>
      </c>
      <c r="E25" s="1"/>
    </row>
    <row r="26" spans="1:5" x14ac:dyDescent="0.25">
      <c r="A26" s="1"/>
      <c r="B26" s="45" t="s">
        <v>156</v>
      </c>
      <c r="C26" s="12">
        <f>SUM(C15,C17,C19,C23,C25)</f>
        <v>277479865.40107954</v>
      </c>
      <c r="D26" s="13" t="s">
        <v>3</v>
      </c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</sheetData>
  <sheetProtection algorithmName="SHA-512" hashValue="jlft0af+hFQ+QlGnWicktRcT+lYZjavQid+OMj6KxR9Ep6E/Z4xUgzwQf2PFGl82bLLLdtdpxxgv+OEKHXWK7g==" saltValue="JUwUVqJt3dM6C40FaLK5hA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47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39" style="2" customWidth="1"/>
    <col min="5" max="5" width="10.85546875" style="2" bestFit="1" customWidth="1"/>
    <col min="6" max="6" width="3.5703125" style="2" bestFit="1" customWidth="1"/>
    <col min="7" max="7" width="7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4" t="s">
        <v>254</v>
      </c>
      <c r="C3" s="84"/>
      <c r="D3" s="84"/>
      <c r="E3" s="84"/>
      <c r="F3" s="84"/>
      <c r="G3" s="1"/>
    </row>
    <row r="4" spans="1:7" ht="29.25" customHeight="1" x14ac:dyDescent="0.25">
      <c r="A4" s="1"/>
      <c r="B4" s="84"/>
      <c r="C4" s="84"/>
      <c r="D4" s="84"/>
      <c r="E4" s="84"/>
      <c r="F4" s="84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5" t="s">
        <v>81</v>
      </c>
      <c r="C8" s="46"/>
      <c r="D8" s="46"/>
      <c r="E8" s="46"/>
      <c r="F8" s="22"/>
      <c r="G8" s="1"/>
    </row>
    <row r="9" spans="1:7" x14ac:dyDescent="0.25">
      <c r="A9" s="1"/>
      <c r="B9" s="85" t="s">
        <v>79</v>
      </c>
      <c r="C9" s="86"/>
      <c r="D9" s="87"/>
      <c r="E9" s="7">
        <v>250966872.00524443</v>
      </c>
      <c r="F9" s="8" t="s">
        <v>3</v>
      </c>
      <c r="G9" s="1"/>
    </row>
    <row r="10" spans="1:7" x14ac:dyDescent="0.25">
      <c r="A10" s="1"/>
      <c r="B10" s="88" t="s">
        <v>64</v>
      </c>
      <c r="C10" s="89"/>
      <c r="D10" s="90"/>
      <c r="E10" s="7">
        <v>1603778.4124999999</v>
      </c>
      <c r="F10" s="8" t="s">
        <v>3</v>
      </c>
      <c r="G10" s="1"/>
    </row>
    <row r="11" spans="1:7" x14ac:dyDescent="0.25">
      <c r="A11" s="1"/>
      <c r="B11" s="88" t="s">
        <v>65</v>
      </c>
      <c r="C11" s="89"/>
      <c r="D11" s="90"/>
      <c r="E11" s="9">
        <v>2267241.5977999996</v>
      </c>
      <c r="F11" s="8" t="s">
        <v>3</v>
      </c>
      <c r="G11" s="1"/>
    </row>
    <row r="12" spans="1:7" x14ac:dyDescent="0.25">
      <c r="A12" s="1"/>
      <c r="B12" s="88" t="s">
        <v>42</v>
      </c>
      <c r="C12" s="89"/>
      <c r="D12" s="90"/>
      <c r="E12" s="9">
        <v>0</v>
      </c>
      <c r="F12" s="8" t="s">
        <v>3</v>
      </c>
      <c r="G12" s="1"/>
    </row>
    <row r="13" spans="1:7" x14ac:dyDescent="0.25">
      <c r="A13" s="1"/>
      <c r="B13" s="88" t="s">
        <v>41</v>
      </c>
      <c r="C13" s="89"/>
      <c r="D13" s="90"/>
      <c r="E13" s="9">
        <v>0</v>
      </c>
      <c r="F13" s="8" t="s">
        <v>3</v>
      </c>
      <c r="G13" s="1"/>
    </row>
    <row r="14" spans="1:7" x14ac:dyDescent="0.25">
      <c r="A14" s="1"/>
      <c r="B14" s="88" t="s">
        <v>44</v>
      </c>
      <c r="C14" s="89"/>
      <c r="D14" s="90"/>
      <c r="E14" s="9">
        <v>0</v>
      </c>
      <c r="F14" s="8" t="s">
        <v>3</v>
      </c>
      <c r="G14" s="1"/>
    </row>
    <row r="15" spans="1:7" x14ac:dyDescent="0.25">
      <c r="A15" s="1"/>
      <c r="B15" s="88" t="s">
        <v>43</v>
      </c>
      <c r="C15" s="89"/>
      <c r="D15" s="90"/>
      <c r="E15" s="9">
        <v>0</v>
      </c>
      <c r="F15" s="8" t="s">
        <v>3</v>
      </c>
      <c r="G15" s="1"/>
    </row>
    <row r="16" spans="1:7" x14ac:dyDescent="0.25">
      <c r="A16" s="1"/>
      <c r="B16" s="88" t="s">
        <v>27</v>
      </c>
      <c r="C16" s="89"/>
      <c r="D16" s="90"/>
      <c r="E16" s="9">
        <f>E9*'Fane 15. Nøgletal'!C10+SUM(E10:E15)*'Fane 15. Nøgletal'!C11</f>
        <v>4457340.4982658476</v>
      </c>
      <c r="F16" s="8" t="s">
        <v>3</v>
      </c>
      <c r="G16" s="1"/>
    </row>
    <row r="17" spans="1:7" x14ac:dyDescent="0.25">
      <c r="A17" s="1"/>
      <c r="B17" s="88" t="s">
        <v>10</v>
      </c>
      <c r="C17" s="89"/>
      <c r="D17" s="90"/>
      <c r="E17" s="9">
        <f>-SUM(E9:E16)*'Fane 5. Individuelt eff. krav'!G10</f>
        <v>0</v>
      </c>
      <c r="F17" s="8" t="s">
        <v>3</v>
      </c>
      <c r="G17" s="1"/>
    </row>
    <row r="18" spans="1:7" x14ac:dyDescent="0.25">
      <c r="A18" s="1"/>
      <c r="B18" s="88" t="s">
        <v>39</v>
      </c>
      <c r="C18" s="89"/>
      <c r="D18" s="90"/>
      <c r="E18" s="9">
        <f>-'Fane 4.1. Gen. krav - drift'!G21</f>
        <v>-1783868.2751762699</v>
      </c>
      <c r="F18" s="8" t="s">
        <v>3</v>
      </c>
      <c r="G18" s="1"/>
    </row>
    <row r="19" spans="1:7" x14ac:dyDescent="0.25">
      <c r="A19" s="1"/>
      <c r="B19" s="88" t="s">
        <v>40</v>
      </c>
      <c r="C19" s="89"/>
      <c r="D19" s="90"/>
      <c r="E19" s="9">
        <f>-'Fane 4.2. Gen. krav - anlæg'!G19</f>
        <v>-2992539.5111276377</v>
      </c>
      <c r="F19" s="8" t="s">
        <v>3</v>
      </c>
      <c r="G19" s="1"/>
    </row>
    <row r="20" spans="1:7" x14ac:dyDescent="0.25">
      <c r="A20" s="1"/>
      <c r="B20" s="99" t="s">
        <v>29</v>
      </c>
      <c r="C20" s="100"/>
      <c r="D20" s="101"/>
      <c r="E20" s="10">
        <f>SUM(E9:E19)</f>
        <v>254518824.72750637</v>
      </c>
      <c r="F20" s="11" t="s">
        <v>3</v>
      </c>
      <c r="G20" s="1"/>
    </row>
    <row r="21" spans="1:7" x14ac:dyDescent="0.25">
      <c r="A21" s="1"/>
      <c r="B21" s="93" t="s">
        <v>143</v>
      </c>
      <c r="C21" s="94"/>
      <c r="D21" s="94"/>
      <c r="E21" s="94"/>
      <c r="F21" s="95"/>
      <c r="G21" s="1"/>
    </row>
    <row r="22" spans="1:7" x14ac:dyDescent="0.25">
      <c r="A22" s="1"/>
      <c r="B22" s="75" t="s">
        <v>250</v>
      </c>
      <c r="C22" s="76"/>
      <c r="D22" s="77"/>
      <c r="E22" s="35">
        <v>0</v>
      </c>
      <c r="F22" s="8" t="s">
        <v>3</v>
      </c>
      <c r="G22" s="1"/>
    </row>
    <row r="23" spans="1:7" x14ac:dyDescent="0.25">
      <c r="A23" s="1"/>
      <c r="B23" s="75" t="s">
        <v>251</v>
      </c>
      <c r="C23" s="76"/>
      <c r="D23" s="77"/>
      <c r="E23" s="35">
        <f>-E22*('Fane 15. Nøgletal'!C25+'Fane 5. Individuelt eff. krav'!G10)</f>
        <v>0</v>
      </c>
      <c r="F23" s="8" t="s">
        <v>3</v>
      </c>
      <c r="G23" s="1"/>
    </row>
    <row r="24" spans="1:7" x14ac:dyDescent="0.25">
      <c r="A24" s="1"/>
      <c r="B24" s="96" t="s">
        <v>252</v>
      </c>
      <c r="C24" s="97"/>
      <c r="D24" s="98"/>
      <c r="E24" s="10">
        <f>SUM(E22:E23)</f>
        <v>0</v>
      </c>
      <c r="F24" s="11" t="s">
        <v>3</v>
      </c>
      <c r="G24" s="1"/>
    </row>
    <row r="25" spans="1:7" x14ac:dyDescent="0.25">
      <c r="A25" s="1"/>
      <c r="B25" s="91" t="s">
        <v>17</v>
      </c>
      <c r="C25" s="92"/>
      <c r="D25" s="92"/>
      <c r="E25" s="46"/>
      <c r="F25" s="22"/>
      <c r="G25" s="1"/>
    </row>
    <row r="26" spans="1:7" x14ac:dyDescent="0.25">
      <c r="A26" s="1"/>
      <c r="B26" s="81" t="s">
        <v>17</v>
      </c>
      <c r="C26" s="82"/>
      <c r="D26" s="83"/>
      <c r="E26" s="10">
        <v>15809486.519612527</v>
      </c>
      <c r="F26" s="11" t="s">
        <v>3</v>
      </c>
      <c r="G26" s="1"/>
    </row>
    <row r="27" spans="1:7" x14ac:dyDescent="0.25">
      <c r="A27" s="1"/>
      <c r="B27" s="45" t="s">
        <v>80</v>
      </c>
      <c r="C27" s="46"/>
      <c r="D27" s="46"/>
      <c r="E27" s="46"/>
      <c r="F27" s="22"/>
      <c r="G27" s="1"/>
    </row>
    <row r="28" spans="1:7" ht="27" customHeight="1" x14ac:dyDescent="0.25">
      <c r="A28" s="1"/>
      <c r="B28" s="78" t="s">
        <v>132</v>
      </c>
      <c r="C28" s="79"/>
      <c r="D28" s="80"/>
      <c r="E28" s="10">
        <v>68722.574443750971</v>
      </c>
      <c r="F28" s="11" t="s">
        <v>3</v>
      </c>
      <c r="G28" s="1"/>
    </row>
    <row r="29" spans="1:7" x14ac:dyDescent="0.25">
      <c r="A29" s="1"/>
      <c r="B29" s="45" t="s">
        <v>11</v>
      </c>
      <c r="C29" s="46"/>
      <c r="D29" s="46"/>
      <c r="E29" s="46"/>
      <c r="F29" s="22"/>
      <c r="G29" s="1"/>
    </row>
    <row r="30" spans="1:7" x14ac:dyDescent="0.25">
      <c r="A30" s="1"/>
      <c r="B30" s="81" t="s">
        <v>19</v>
      </c>
      <c r="C30" s="82"/>
      <c r="D30" s="83"/>
      <c r="E30" s="10">
        <v>3992873</v>
      </c>
      <c r="F30" s="11" t="s">
        <v>3</v>
      </c>
      <c r="G30" s="1"/>
    </row>
    <row r="31" spans="1:7" x14ac:dyDescent="0.25">
      <c r="A31" s="1"/>
      <c r="B31" s="45" t="s">
        <v>24</v>
      </c>
      <c r="C31" s="46"/>
      <c r="D31" s="46"/>
      <c r="E31" s="12">
        <f>SUM(E30,E28,E26,E20,E24)</f>
        <v>274389906.82156265</v>
      </c>
      <c r="F31" s="13" t="s">
        <v>3</v>
      </c>
      <c r="G31" s="1"/>
    </row>
    <row r="32" spans="1:7" ht="27" customHeight="1" x14ac:dyDescent="0.25">
      <c r="A32" s="1"/>
      <c r="B32" s="75" t="s">
        <v>209</v>
      </c>
      <c r="C32" s="76"/>
      <c r="D32" s="76"/>
      <c r="E32" s="76"/>
      <c r="F32" s="77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algorithmName="SHA-512" hashValue="aK8aaZn4h3n42dizvd7sXApNYZRqyDYP5ipUmHNST5pmcCrxmI3Jo2IIa2QGVePRVQQXbV0Pbc+TRjaoaFyQYA==" saltValue="RR9cR6iHqjDNC1YyQp+V4A==" spinCount="100000" sheet="1" objects="1" scenarios="1"/>
  <mergeCells count="22">
    <mergeCell ref="B21:F21"/>
    <mergeCell ref="B22:D22"/>
    <mergeCell ref="B23:D23"/>
    <mergeCell ref="B24:D24"/>
    <mergeCell ref="B19:D19"/>
    <mergeCell ref="B20:D20"/>
    <mergeCell ref="B32:F32"/>
    <mergeCell ref="B28:D28"/>
    <mergeCell ref="B30:D30"/>
    <mergeCell ref="B3:F4"/>
    <mergeCell ref="B9:D9"/>
    <mergeCell ref="B10:D10"/>
    <mergeCell ref="B11:D11"/>
    <mergeCell ref="B12:D12"/>
    <mergeCell ref="B13:D13"/>
    <mergeCell ref="B14:D14"/>
    <mergeCell ref="B15:D15"/>
    <mergeCell ref="B25:D25"/>
    <mergeCell ref="B26:D26"/>
    <mergeCell ref="B16:D16"/>
    <mergeCell ref="B17:D17"/>
    <mergeCell ref="B18:D1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ht="15" customHeight="1" x14ac:dyDescent="0.25">
      <c r="A1" s="1"/>
      <c r="B1" s="73" t="s">
        <v>235</v>
      </c>
      <c r="C1" s="73"/>
      <c r="D1" s="73"/>
      <c r="E1" s="73"/>
      <c r="F1" s="73"/>
      <c r="G1" s="73"/>
      <c r="H1" s="73"/>
      <c r="I1" s="1"/>
    </row>
    <row r="2" spans="1:9" ht="15" customHeight="1" x14ac:dyDescent="0.25">
      <c r="A2" s="1"/>
      <c r="B2" s="73"/>
      <c r="C2" s="73"/>
      <c r="D2" s="73"/>
      <c r="E2" s="73"/>
      <c r="F2" s="73"/>
      <c r="G2" s="73"/>
      <c r="H2" s="73"/>
      <c r="I2" s="1"/>
    </row>
    <row r="3" spans="1:9" ht="15" customHeight="1" x14ac:dyDescent="0.25">
      <c r="A3" s="1"/>
      <c r="B3" s="73"/>
      <c r="C3" s="73"/>
      <c r="D3" s="73"/>
      <c r="E3" s="73"/>
      <c r="F3" s="73"/>
      <c r="G3" s="73"/>
      <c r="H3" s="73"/>
      <c r="I3" s="1"/>
    </row>
    <row r="4" spans="1:9" x14ac:dyDescent="0.25">
      <c r="A4" s="1"/>
      <c r="B4" s="93" t="s">
        <v>94</v>
      </c>
      <c r="C4" s="94"/>
      <c r="D4" s="94"/>
      <c r="E4" s="94"/>
      <c r="F4" s="94"/>
      <c r="G4" s="94"/>
      <c r="H4" s="95"/>
      <c r="I4" s="1"/>
    </row>
    <row r="5" spans="1:9" x14ac:dyDescent="0.25">
      <c r="A5" s="1"/>
      <c r="B5" s="102" t="s">
        <v>83</v>
      </c>
      <c r="C5" s="103"/>
      <c r="D5" s="103"/>
      <c r="E5" s="103"/>
      <c r="F5" s="104"/>
      <c r="G5" s="26">
        <v>86963494.691677257</v>
      </c>
      <c r="H5" s="14" t="s">
        <v>3</v>
      </c>
      <c r="I5" s="1"/>
    </row>
    <row r="6" spans="1:9" x14ac:dyDescent="0.25">
      <c r="A6" s="1"/>
      <c r="B6" s="75" t="s">
        <v>253</v>
      </c>
      <c r="C6" s="76"/>
      <c r="D6" s="76"/>
      <c r="E6" s="76"/>
      <c r="F6" s="77"/>
      <c r="G6" s="26">
        <v>0</v>
      </c>
      <c r="H6" s="14" t="s">
        <v>3</v>
      </c>
      <c r="I6" s="1"/>
    </row>
    <row r="7" spans="1:9" x14ac:dyDescent="0.25">
      <c r="A7" s="1"/>
      <c r="B7" s="102" t="s">
        <v>84</v>
      </c>
      <c r="C7" s="103"/>
      <c r="D7" s="103"/>
      <c r="E7" s="103"/>
      <c r="F7" s="104"/>
      <c r="G7" s="26">
        <f>SUM(G5:G6)*'Fane 15. Nøgletal'!C25</f>
        <v>1739269.8938335453</v>
      </c>
      <c r="H7" s="14" t="s">
        <v>3</v>
      </c>
      <c r="I7" s="1"/>
    </row>
    <row r="8" spans="1:9" x14ac:dyDescent="0.25">
      <c r="A8" s="1"/>
      <c r="B8" s="45"/>
      <c r="C8" s="46"/>
      <c r="D8" s="46"/>
      <c r="E8" s="46"/>
      <c r="F8" s="46"/>
      <c r="G8" s="46"/>
      <c r="H8" s="22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93" t="s">
        <v>95</v>
      </c>
      <c r="C10" s="94"/>
      <c r="D10" s="94"/>
      <c r="E10" s="94"/>
      <c r="F10" s="94"/>
      <c r="G10" s="94"/>
      <c r="H10" s="95"/>
      <c r="I10" s="1"/>
    </row>
    <row r="11" spans="1:9" x14ac:dyDescent="0.25">
      <c r="A11" s="1"/>
      <c r="B11" s="102" t="s">
        <v>85</v>
      </c>
      <c r="C11" s="103"/>
      <c r="D11" s="103"/>
      <c r="E11" s="103"/>
      <c r="F11" s="104"/>
      <c r="G11" s="26">
        <f>(G5-G7)*(1+'Fane 15. Nøgletal'!C10)</f>
        <v>86715648.73180598</v>
      </c>
      <c r="H11" s="14" t="s">
        <v>3</v>
      </c>
      <c r="I11" s="1"/>
    </row>
    <row r="12" spans="1:9" x14ac:dyDescent="0.25">
      <c r="A12" s="1"/>
      <c r="B12" s="102" t="s">
        <v>256</v>
      </c>
      <c r="C12" s="103"/>
      <c r="D12" s="103"/>
      <c r="E12" s="103"/>
      <c r="F12" s="104"/>
      <c r="G12" s="26">
        <v>0</v>
      </c>
      <c r="H12" s="14" t="s">
        <v>3</v>
      </c>
      <c r="I12" s="1"/>
    </row>
    <row r="13" spans="1:9" x14ac:dyDescent="0.25">
      <c r="A13" s="1"/>
      <c r="B13" s="75" t="s">
        <v>250</v>
      </c>
      <c r="C13" s="76"/>
      <c r="D13" s="76"/>
      <c r="E13" s="76"/>
      <c r="F13" s="77"/>
      <c r="G13" s="26">
        <v>0</v>
      </c>
      <c r="H13" s="14" t="s">
        <v>3</v>
      </c>
      <c r="I13" s="1"/>
    </row>
    <row r="14" spans="1:9" x14ac:dyDescent="0.25">
      <c r="A14" s="1"/>
      <c r="B14" s="108" t="s">
        <v>86</v>
      </c>
      <c r="C14" s="106"/>
      <c r="D14" s="106"/>
      <c r="E14" s="106"/>
      <c r="F14" s="107"/>
      <c r="G14" s="26">
        <v>1097149.2335375</v>
      </c>
      <c r="H14" s="14" t="s">
        <v>3</v>
      </c>
      <c r="I14" s="1"/>
    </row>
    <row r="15" spans="1:9" x14ac:dyDescent="0.25">
      <c r="A15" s="1"/>
      <c r="B15" s="102" t="s">
        <v>87</v>
      </c>
      <c r="C15" s="103"/>
      <c r="D15" s="103"/>
      <c r="E15" s="103"/>
      <c r="F15" s="104"/>
      <c r="G15" s="26">
        <f>SUM(G11:G14)*'Fane 15. Nøgletal'!C25</f>
        <v>1756255.9593068697</v>
      </c>
      <c r="H15" s="14" t="s">
        <v>3</v>
      </c>
      <c r="I15" s="1"/>
    </row>
    <row r="16" spans="1:9" x14ac:dyDescent="0.25">
      <c r="A16" s="1"/>
      <c r="B16" s="45"/>
      <c r="C16" s="46"/>
      <c r="D16" s="46"/>
      <c r="E16" s="46"/>
      <c r="F16" s="46"/>
      <c r="G16" s="46"/>
      <c r="H16" s="22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93" t="s">
        <v>96</v>
      </c>
      <c r="C18" s="94"/>
      <c r="D18" s="94"/>
      <c r="E18" s="94"/>
      <c r="F18" s="94"/>
      <c r="G18" s="94"/>
      <c r="H18" s="95"/>
      <c r="I18" s="1"/>
    </row>
    <row r="19" spans="1:9" x14ac:dyDescent="0.25">
      <c r="A19" s="1"/>
      <c r="B19" s="102" t="s">
        <v>88</v>
      </c>
      <c r="C19" s="103"/>
      <c r="D19" s="103"/>
      <c r="E19" s="103"/>
      <c r="F19" s="104"/>
      <c r="G19" s="26">
        <f>(G11+G12+G14-G15)*(1+'Fane 15. Nøgletal'!C10)</f>
        <v>87562531.491142258</v>
      </c>
      <c r="H19" s="14" t="s">
        <v>3</v>
      </c>
      <c r="I19" s="1"/>
    </row>
    <row r="20" spans="1:9" x14ac:dyDescent="0.25">
      <c r="A20" s="1"/>
      <c r="B20" s="108" t="s">
        <v>89</v>
      </c>
      <c r="C20" s="106"/>
      <c r="D20" s="106"/>
      <c r="E20" s="106"/>
      <c r="F20" s="107"/>
      <c r="G20" s="26">
        <v>1630882.2676712496</v>
      </c>
      <c r="H20" s="14" t="s">
        <v>3</v>
      </c>
      <c r="I20" s="1"/>
    </row>
    <row r="21" spans="1:9" x14ac:dyDescent="0.25">
      <c r="A21" s="1"/>
      <c r="B21" s="102" t="s">
        <v>90</v>
      </c>
      <c r="C21" s="103"/>
      <c r="D21" s="103"/>
      <c r="E21" s="103"/>
      <c r="F21" s="104"/>
      <c r="G21" s="26">
        <f>(G19+G20)*'Fane 15. Nøgletal'!C25</f>
        <v>1783868.2751762699</v>
      </c>
      <c r="H21" s="14" t="s">
        <v>3</v>
      </c>
      <c r="I21" s="1"/>
    </row>
    <row r="22" spans="1:9" x14ac:dyDescent="0.25">
      <c r="A22" s="1"/>
      <c r="B22" s="45"/>
      <c r="C22" s="46"/>
      <c r="D22" s="46"/>
      <c r="E22" s="46"/>
      <c r="F22" s="46"/>
      <c r="G22" s="46"/>
      <c r="H22" s="22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93" t="s">
        <v>97</v>
      </c>
      <c r="C24" s="94"/>
      <c r="D24" s="94"/>
      <c r="E24" s="94"/>
      <c r="F24" s="94"/>
      <c r="G24" s="94"/>
      <c r="H24" s="95"/>
      <c r="I24" s="1"/>
    </row>
    <row r="25" spans="1:9" x14ac:dyDescent="0.25">
      <c r="A25" s="1"/>
      <c r="B25" s="102" t="s">
        <v>91</v>
      </c>
      <c r="C25" s="103"/>
      <c r="D25" s="103"/>
      <c r="E25" s="103"/>
      <c r="F25" s="104"/>
      <c r="G25" s="26">
        <f>G19*(1-'Fane 15. Nøgletal'!C25)*(1+'Fane 15. Nøgletal'!C10)+G20*(1-'Fane 15. Nøgletal'!C25)*(1+'Fane 15. Nøgletal'!C11)</f>
        <v>88938253.570827499</v>
      </c>
      <c r="H25" s="14" t="s">
        <v>3</v>
      </c>
      <c r="I25" s="1"/>
    </row>
    <row r="26" spans="1:9" x14ac:dyDescent="0.25">
      <c r="A26" s="1"/>
      <c r="B26" s="105" t="s">
        <v>248</v>
      </c>
      <c r="C26" s="106"/>
      <c r="D26" s="106"/>
      <c r="E26" s="106"/>
      <c r="F26" s="107"/>
      <c r="G26" s="26">
        <f>G20*(1-'Fane 15. Nøgletal'!C25)*(1+'Fane 15. Nøgletal'!C11)</f>
        <v>1625275.2944349956</v>
      </c>
      <c r="H26" s="14" t="s">
        <v>3</v>
      </c>
      <c r="I26" s="1"/>
    </row>
    <row r="27" spans="1:9" x14ac:dyDescent="0.25">
      <c r="A27" s="1"/>
      <c r="B27" s="108" t="s">
        <v>92</v>
      </c>
      <c r="C27" s="106"/>
      <c r="D27" s="106"/>
      <c r="E27" s="106"/>
      <c r="F27" s="107"/>
      <c r="G27" s="26">
        <f>('Fane 2.1. Økonomisk ramme 2020'!C12+'Fane 2.1. Økonomisk ramme 2020'!C14+'Fane 2.1. Økonomisk ramme 2020'!C16)*(1+'Fane 15. Nøgletal'!C12)</f>
        <v>0</v>
      </c>
      <c r="H27" s="14" t="s">
        <v>3</v>
      </c>
      <c r="I27" s="1"/>
    </row>
    <row r="28" spans="1:9" x14ac:dyDescent="0.25">
      <c r="A28" s="1"/>
      <c r="B28" s="102" t="s">
        <v>93</v>
      </c>
      <c r="C28" s="103"/>
      <c r="D28" s="103"/>
      <c r="E28" s="103"/>
      <c r="F28" s="104"/>
      <c r="G28" s="26">
        <f>SUM(G25,G27)*'Fane 15. Nøgletal'!C25</f>
        <v>1778765.0714165501</v>
      </c>
      <c r="H28" s="14" t="s">
        <v>3</v>
      </c>
      <c r="I28" s="1"/>
    </row>
    <row r="29" spans="1:9" x14ac:dyDescent="0.25">
      <c r="A29" s="1"/>
      <c r="B29" s="45"/>
      <c r="C29" s="46"/>
      <c r="D29" s="46"/>
      <c r="E29" s="46"/>
      <c r="F29" s="46"/>
      <c r="G29" s="46"/>
      <c r="H29" s="22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93" t="s">
        <v>100</v>
      </c>
      <c r="C31" s="94"/>
      <c r="D31" s="94"/>
      <c r="E31" s="94"/>
      <c r="F31" s="94"/>
      <c r="G31" s="94"/>
      <c r="H31" s="95"/>
      <c r="I31" s="1"/>
    </row>
    <row r="32" spans="1:9" x14ac:dyDescent="0.25">
      <c r="A32" s="1"/>
      <c r="B32" s="102" t="s">
        <v>101</v>
      </c>
      <c r="C32" s="103"/>
      <c r="D32" s="103"/>
      <c r="E32" s="103"/>
      <c r="F32" s="104"/>
      <c r="G32" s="26">
        <f>(G25-G26)*(1-'Fane 15. Nøgletal'!C25)*(1+'Fane 15. Nøgletal'!C10)+G26*(1-'Fane 15. Nøgletal'!C25)*(1+'Fane 15. Nøgletal'!C11)+G27*(1-'Fane 15. Nøgletal'!C25)*(1+'Fane 15. Nøgletal'!C12)</f>
        <v>88683823.886277512</v>
      </c>
      <c r="H32" s="14" t="s">
        <v>3</v>
      </c>
      <c r="I32" s="1"/>
    </row>
    <row r="33" spans="1:9" x14ac:dyDescent="0.25">
      <c r="A33" s="1"/>
      <c r="B33" s="105" t="s">
        <v>248</v>
      </c>
      <c r="C33" s="106"/>
      <c r="D33" s="106"/>
      <c r="E33" s="106"/>
      <c r="F33" s="107"/>
      <c r="G33" s="26">
        <f>G26*(1-'Fane 15. Nøgletal'!C25)*(1+'Fane 15. Nøgletal'!C11)</f>
        <v>1619687.5979727278</v>
      </c>
      <c r="H33" s="14" t="s">
        <v>3</v>
      </c>
      <c r="I33" s="1"/>
    </row>
    <row r="34" spans="1:9" x14ac:dyDescent="0.25">
      <c r="A34" s="1"/>
      <c r="B34" s="105" t="s">
        <v>249</v>
      </c>
      <c r="C34" s="106"/>
      <c r="D34" s="106"/>
      <c r="E34" s="106"/>
      <c r="F34" s="107"/>
      <c r="G34" s="26">
        <f>G27*(1-'Fane 15. Nøgletal'!C25)*(1+'Fane 15. Nøgletal'!C12)</f>
        <v>0</v>
      </c>
      <c r="H34" s="14" t="s">
        <v>3</v>
      </c>
      <c r="I34" s="1"/>
    </row>
    <row r="35" spans="1:9" x14ac:dyDescent="0.25">
      <c r="A35" s="1"/>
      <c r="B35" s="102" t="s">
        <v>147</v>
      </c>
      <c r="C35" s="103"/>
      <c r="D35" s="103"/>
      <c r="E35" s="103"/>
      <c r="F35" s="104"/>
      <c r="G35" s="26">
        <f>-'Fane 13. Bortfald'!C18*(1+'Fane 15. Nøgletal'!C12)</f>
        <v>0</v>
      </c>
      <c r="H35" s="14" t="s">
        <v>3</v>
      </c>
      <c r="I35" s="1"/>
    </row>
    <row r="36" spans="1:9" x14ac:dyDescent="0.25">
      <c r="A36" s="1"/>
      <c r="B36" s="102" t="s">
        <v>102</v>
      </c>
      <c r="C36" s="103"/>
      <c r="D36" s="103"/>
      <c r="E36" s="103"/>
      <c r="F36" s="104"/>
      <c r="G36" s="26">
        <f>SUM(G32,G35)*'Fane 15. Nøgletal'!C25</f>
        <v>1773676.4777255503</v>
      </c>
      <c r="H36" s="14" t="s">
        <v>3</v>
      </c>
      <c r="I36" s="1"/>
    </row>
    <row r="37" spans="1:9" x14ac:dyDescent="0.25">
      <c r="A37" s="1"/>
      <c r="B37" s="45"/>
      <c r="C37" s="46"/>
      <c r="D37" s="46"/>
      <c r="E37" s="46"/>
      <c r="F37" s="46"/>
      <c r="G37" s="46"/>
      <c r="H37" s="22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93" t="s">
        <v>127</v>
      </c>
      <c r="C39" s="94"/>
      <c r="D39" s="94"/>
      <c r="E39" s="94"/>
      <c r="F39" s="94"/>
      <c r="G39" s="94"/>
      <c r="H39" s="95"/>
      <c r="I39" s="1"/>
    </row>
    <row r="40" spans="1:9" x14ac:dyDescent="0.25">
      <c r="A40" s="1"/>
      <c r="B40" s="102" t="s">
        <v>126</v>
      </c>
      <c r="C40" s="103"/>
      <c r="D40" s="103"/>
      <c r="E40" s="103"/>
      <c r="F40" s="104"/>
      <c r="G40" s="26">
        <f>(SUM(G32,G35)-G36)*(1+'Fane 15. Nøgletal'!C12)</f>
        <v>88622277.312500432</v>
      </c>
      <c r="H40" s="14" t="s">
        <v>3</v>
      </c>
      <c r="I40" s="1"/>
    </row>
    <row r="41" spans="1:9" x14ac:dyDescent="0.25">
      <c r="A41" s="1"/>
      <c r="B41" s="102" t="s">
        <v>148</v>
      </c>
      <c r="C41" s="103"/>
      <c r="D41" s="103"/>
      <c r="E41" s="103"/>
      <c r="F41" s="104"/>
      <c r="G41" s="26">
        <f>-'Fane 13. Bortfald'!C24*(1+'Fane 15. Nøgletal'!C12)</f>
        <v>0</v>
      </c>
      <c r="H41" s="14" t="s">
        <v>3</v>
      </c>
      <c r="I41" s="1"/>
    </row>
    <row r="42" spans="1:9" x14ac:dyDescent="0.25">
      <c r="A42" s="1"/>
      <c r="B42" s="102" t="s">
        <v>103</v>
      </c>
      <c r="C42" s="103"/>
      <c r="D42" s="103"/>
      <c r="E42" s="103"/>
      <c r="F42" s="104"/>
      <c r="G42" s="26">
        <f>(G40+G41)*'Fane 15. Nøgletal'!C25</f>
        <v>1772445.5462500087</v>
      </c>
      <c r="H42" s="14" t="s">
        <v>3</v>
      </c>
      <c r="I42" s="1"/>
    </row>
    <row r="43" spans="1:9" x14ac:dyDescent="0.25">
      <c r="A43" s="1"/>
      <c r="B43" s="45"/>
      <c r="C43" s="46"/>
      <c r="D43" s="46"/>
      <c r="E43" s="46"/>
      <c r="F43" s="46"/>
      <c r="G43" s="46"/>
      <c r="H43" s="22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93" t="s">
        <v>128</v>
      </c>
      <c r="C45" s="94"/>
      <c r="D45" s="94"/>
      <c r="E45" s="94"/>
      <c r="F45" s="94"/>
      <c r="G45" s="94"/>
      <c r="H45" s="95"/>
      <c r="I45" s="1"/>
    </row>
    <row r="46" spans="1:9" x14ac:dyDescent="0.25">
      <c r="A46" s="1"/>
      <c r="B46" s="102" t="s">
        <v>125</v>
      </c>
      <c r="C46" s="103"/>
      <c r="D46" s="103"/>
      <c r="E46" s="103"/>
      <c r="F46" s="104"/>
      <c r="G46" s="26">
        <f>(G40-G42)*(1+'Fane 15. Nøgletal'!C12)</f>
        <v>88560773.45204556</v>
      </c>
      <c r="H46" s="14" t="s">
        <v>3</v>
      </c>
      <c r="I46" s="1"/>
    </row>
    <row r="47" spans="1:9" x14ac:dyDescent="0.25">
      <c r="A47" s="1"/>
      <c r="B47" s="102" t="s">
        <v>149</v>
      </c>
      <c r="C47" s="103"/>
      <c r="D47" s="103"/>
      <c r="E47" s="103"/>
      <c r="F47" s="104"/>
      <c r="G47" s="26">
        <f>-'Fane 13. Bortfald'!C30*(1+'Fane 15. Nøgletal'!C12)</f>
        <v>0</v>
      </c>
      <c r="H47" s="14" t="s">
        <v>3</v>
      </c>
      <c r="I47" s="1"/>
    </row>
    <row r="48" spans="1:9" x14ac:dyDescent="0.25">
      <c r="A48" s="1"/>
      <c r="B48" s="102" t="s">
        <v>104</v>
      </c>
      <c r="C48" s="103"/>
      <c r="D48" s="103"/>
      <c r="E48" s="103"/>
      <c r="F48" s="104"/>
      <c r="G48" s="26">
        <f>(G46+G47)*'Fane 15. Nøgletal'!C25</f>
        <v>1771215.4690409112</v>
      </c>
      <c r="H48" s="14" t="s">
        <v>3</v>
      </c>
      <c r="I48" s="1"/>
    </row>
    <row r="49" spans="1:9" x14ac:dyDescent="0.25">
      <c r="A49" s="1"/>
      <c r="B49" s="45"/>
      <c r="C49" s="46"/>
      <c r="D49" s="46"/>
      <c r="E49" s="46"/>
      <c r="F49" s="46"/>
      <c r="G49" s="46"/>
      <c r="H49" s="22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vlLK+HFiog24WyhpxeQBPPZJCmO3RvUO84Cc57xWy78l4Bfg1f0oSf/PfdhHpKJLDX8+li8M7PxMu9L7vMe8Lw==" saltValue="+J8ibqz11GxYkCjzy1olUg==" spinCount="100000" sheet="1" objects="1" scenarios="1"/>
  <mergeCells count="34">
    <mergeCell ref="B13:F13"/>
    <mergeCell ref="B35:F35"/>
    <mergeCell ref="B26:F26"/>
    <mergeCell ref="B33:F33"/>
    <mergeCell ref="B34:F34"/>
    <mergeCell ref="B18:H18"/>
    <mergeCell ref="B24:H24"/>
    <mergeCell ref="B32:F32"/>
    <mergeCell ref="B14:F14"/>
    <mergeCell ref="B15:F15"/>
    <mergeCell ref="B19:F19"/>
    <mergeCell ref="B20:F20"/>
    <mergeCell ref="B31:H31"/>
    <mergeCell ref="B21:F21"/>
    <mergeCell ref="B25:F25"/>
    <mergeCell ref="B27:F27"/>
    <mergeCell ref="B28:F28"/>
    <mergeCell ref="B36:F36"/>
    <mergeCell ref="B45:H45"/>
    <mergeCell ref="B46:F46"/>
    <mergeCell ref="B48:F48"/>
    <mergeCell ref="B41:F41"/>
    <mergeCell ref="B47:F47"/>
    <mergeCell ref="B39:H39"/>
    <mergeCell ref="B42:F42"/>
    <mergeCell ref="B40:F40"/>
    <mergeCell ref="B12:F12"/>
    <mergeCell ref="B1:H3"/>
    <mergeCell ref="B4:H4"/>
    <mergeCell ref="B5:F5"/>
    <mergeCell ref="B7:F7"/>
    <mergeCell ref="B11:F11"/>
    <mergeCell ref="B10:H10"/>
    <mergeCell ref="B6:F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8.75" x14ac:dyDescent="0.3">
      <c r="A2" s="1"/>
      <c r="B2" s="109" t="s">
        <v>234</v>
      </c>
      <c r="C2" s="109"/>
      <c r="D2" s="109"/>
      <c r="E2" s="109"/>
      <c r="F2" s="109"/>
      <c r="G2" s="109"/>
      <c r="H2" s="109"/>
      <c r="I2" s="1"/>
    </row>
    <row r="3" spans="1:9" ht="18.75" x14ac:dyDescent="0.3">
      <c r="A3" s="1"/>
      <c r="B3" s="48"/>
      <c r="C3" s="48"/>
      <c r="D3" s="48"/>
      <c r="E3" s="48"/>
      <c r="F3" s="48"/>
      <c r="G3" s="48"/>
      <c r="H3" s="48"/>
      <c r="I3" s="1"/>
    </row>
    <row r="4" spans="1:9" x14ac:dyDescent="0.25">
      <c r="A4" s="1"/>
      <c r="B4" s="93" t="s">
        <v>98</v>
      </c>
      <c r="C4" s="94"/>
      <c r="D4" s="94"/>
      <c r="E4" s="94"/>
      <c r="F4" s="94"/>
      <c r="G4" s="94"/>
      <c r="H4" s="95"/>
      <c r="I4" s="1"/>
    </row>
    <row r="5" spans="1:9" x14ac:dyDescent="0.25">
      <c r="A5" s="1"/>
      <c r="B5" s="102" t="s">
        <v>105</v>
      </c>
      <c r="C5" s="103"/>
      <c r="D5" s="103"/>
      <c r="E5" s="103"/>
      <c r="F5" s="104"/>
      <c r="G5" s="26">
        <v>165644704.57019508</v>
      </c>
      <c r="H5" s="14" t="s">
        <v>3</v>
      </c>
      <c r="I5" s="1"/>
    </row>
    <row r="6" spans="1:9" x14ac:dyDescent="0.25">
      <c r="A6" s="1"/>
      <c r="B6" s="102" t="s">
        <v>99</v>
      </c>
      <c r="C6" s="103"/>
      <c r="D6" s="103"/>
      <c r="E6" s="103"/>
      <c r="F6" s="104"/>
      <c r="G6" s="26">
        <f>G5*'Fane 15. Nøgletal'!C17</f>
        <v>1507366.8115887754</v>
      </c>
      <c r="H6" s="14" t="s">
        <v>3</v>
      </c>
      <c r="I6" s="1"/>
    </row>
    <row r="7" spans="1:9" x14ac:dyDescent="0.25">
      <c r="A7" s="1"/>
      <c r="B7" s="45"/>
      <c r="C7" s="46"/>
      <c r="D7" s="46"/>
      <c r="E7" s="46"/>
      <c r="F7" s="46"/>
      <c r="G7" s="46"/>
      <c r="H7" s="22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93" t="s">
        <v>106</v>
      </c>
      <c r="C9" s="94"/>
      <c r="D9" s="94"/>
      <c r="E9" s="94"/>
      <c r="F9" s="94"/>
      <c r="G9" s="94"/>
      <c r="H9" s="95"/>
      <c r="I9" s="1"/>
    </row>
    <row r="10" spans="1:9" x14ac:dyDescent="0.25">
      <c r="A10" s="1"/>
      <c r="B10" s="102" t="s">
        <v>107</v>
      </c>
      <c r="C10" s="103"/>
      <c r="D10" s="103"/>
      <c r="E10" s="103"/>
      <c r="F10" s="104"/>
      <c r="G10" s="26">
        <f>(G5-G6)*(1+'Fane 15. Nøgletal'!C10)</f>
        <v>167009741.16938195</v>
      </c>
      <c r="H10" s="14" t="s">
        <v>3</v>
      </c>
      <c r="I10" s="1"/>
    </row>
    <row r="11" spans="1:9" x14ac:dyDescent="0.25">
      <c r="A11" s="1"/>
      <c r="B11" s="102" t="s">
        <v>257</v>
      </c>
      <c r="C11" s="103"/>
      <c r="D11" s="103"/>
      <c r="E11" s="103"/>
      <c r="F11" s="104"/>
      <c r="G11" s="26">
        <v>1012696.7821860723</v>
      </c>
      <c r="H11" s="14" t="s">
        <v>3</v>
      </c>
      <c r="I11" s="1"/>
    </row>
    <row r="12" spans="1:9" x14ac:dyDescent="0.25">
      <c r="A12" s="1"/>
      <c r="B12" s="108" t="s">
        <v>108</v>
      </c>
      <c r="C12" s="106"/>
      <c r="D12" s="106"/>
      <c r="E12" s="106"/>
      <c r="F12" s="107"/>
      <c r="G12" s="26">
        <v>0</v>
      </c>
      <c r="H12" s="14" t="s">
        <v>3</v>
      </c>
      <c r="I12" s="1"/>
    </row>
    <row r="13" spans="1:9" x14ac:dyDescent="0.25">
      <c r="A13" s="1"/>
      <c r="B13" s="102" t="s">
        <v>109</v>
      </c>
      <c r="C13" s="103"/>
      <c r="D13" s="103"/>
      <c r="E13" s="103"/>
      <c r="F13" s="104"/>
      <c r="G13" s="26">
        <f>SUM(G10:G12)*'Fane 15. Nøgletal'!C18</f>
        <v>2973997.151742754</v>
      </c>
      <c r="H13" s="14" t="s">
        <v>3</v>
      </c>
      <c r="I13" s="1"/>
    </row>
    <row r="14" spans="1:9" x14ac:dyDescent="0.25">
      <c r="A14" s="1"/>
      <c r="B14" s="45"/>
      <c r="C14" s="46"/>
      <c r="D14" s="46"/>
      <c r="E14" s="46"/>
      <c r="F14" s="46"/>
      <c r="G14" s="46"/>
      <c r="H14" s="22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93" t="s">
        <v>110</v>
      </c>
      <c r="C16" s="94"/>
      <c r="D16" s="94"/>
      <c r="E16" s="94"/>
      <c r="F16" s="94"/>
      <c r="G16" s="94"/>
      <c r="H16" s="95"/>
      <c r="I16" s="1"/>
    </row>
    <row r="17" spans="1:9" x14ac:dyDescent="0.25">
      <c r="A17" s="1"/>
      <c r="B17" s="102" t="s">
        <v>111</v>
      </c>
      <c r="C17" s="103"/>
      <c r="D17" s="103"/>
      <c r="E17" s="103"/>
      <c r="F17" s="104"/>
      <c r="G17" s="26">
        <f>(G10+G11+G12-G13)*(1+'Fane 15. Nøgletal'!C10)</f>
        <v>167936788.5138222</v>
      </c>
      <c r="H17" s="14" t="s">
        <v>3</v>
      </c>
      <c r="I17" s="1"/>
    </row>
    <row r="18" spans="1:9" x14ac:dyDescent="0.25">
      <c r="A18" s="1"/>
      <c r="B18" s="108" t="s">
        <v>112</v>
      </c>
      <c r="C18" s="106"/>
      <c r="D18" s="106"/>
      <c r="E18" s="106"/>
      <c r="F18" s="107"/>
      <c r="G18" s="26">
        <v>2305557.9808028196</v>
      </c>
      <c r="H18" s="14" t="s">
        <v>3</v>
      </c>
      <c r="I18" s="1"/>
    </row>
    <row r="19" spans="1:9" x14ac:dyDescent="0.25">
      <c r="A19" s="1"/>
      <c r="B19" s="102" t="s">
        <v>113</v>
      </c>
      <c r="C19" s="103"/>
      <c r="D19" s="103"/>
      <c r="E19" s="103"/>
      <c r="F19" s="104"/>
      <c r="G19" s="26">
        <f>G17*'Fane 15. Nøgletal'!C18+G18*'Fane 15. Nøgletal'!C19</f>
        <v>2992539.5111276377</v>
      </c>
      <c r="H19" s="14" t="s">
        <v>3</v>
      </c>
      <c r="I19" s="1"/>
    </row>
    <row r="20" spans="1:9" x14ac:dyDescent="0.25">
      <c r="A20" s="1"/>
      <c r="B20" s="45"/>
      <c r="C20" s="46"/>
      <c r="D20" s="46"/>
      <c r="E20" s="46"/>
      <c r="F20" s="46"/>
      <c r="G20" s="46"/>
      <c r="H20" s="22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93" t="s">
        <v>114</v>
      </c>
      <c r="C22" s="94"/>
      <c r="D22" s="94"/>
      <c r="E22" s="94"/>
      <c r="F22" s="94"/>
      <c r="G22" s="94"/>
      <c r="H22" s="95"/>
      <c r="I22" s="1"/>
    </row>
    <row r="23" spans="1:9" x14ac:dyDescent="0.25">
      <c r="A23" s="1"/>
      <c r="B23" s="102" t="s">
        <v>115</v>
      </c>
      <c r="C23" s="103"/>
      <c r="D23" s="103"/>
      <c r="E23" s="103"/>
      <c r="F23" s="104"/>
      <c r="G23" s="26">
        <f>G17*(1-'Fane 15. Nøgletal'!C18)*(1+'Fane 15. Nøgletal'!C10)+G18*(1-'Fane 15. Nøgletal'!C19)*(1+'Fane 15. Nøgletal'!C11)</f>
        <v>170175307.30593279</v>
      </c>
      <c r="H23" s="14" t="s">
        <v>3</v>
      </c>
      <c r="I23" s="1"/>
    </row>
    <row r="24" spans="1:9" x14ac:dyDescent="0.25">
      <c r="A24" s="1"/>
      <c r="B24" s="105" t="s">
        <v>245</v>
      </c>
      <c r="C24" s="106"/>
      <c r="D24" s="106"/>
      <c r="E24" s="106"/>
      <c r="F24" s="107"/>
      <c r="G24" s="26">
        <f>G18*(1-'Fane 15. Nøgletal'!C19)*(1+'Fane 15. Nøgletal'!C11)</f>
        <v>2324124.5700554848</v>
      </c>
      <c r="H24" s="14" t="s">
        <v>3</v>
      </c>
      <c r="I24" s="1"/>
    </row>
    <row r="25" spans="1:9" x14ac:dyDescent="0.25">
      <c r="A25" s="1"/>
      <c r="B25" s="108" t="s">
        <v>116</v>
      </c>
      <c r="C25" s="106"/>
      <c r="D25" s="106"/>
      <c r="E25" s="106"/>
      <c r="F25" s="107"/>
      <c r="G25" s="26">
        <f>('Fane 2.1. Økonomisk ramme 2020'!C13+'Fane 2.1. Økonomisk ramme 2020'!C15+'Fane 2.1. Økonomisk ramme 2020'!C17)*(1+'Fane 15. Nøgletal'!C12)</f>
        <v>2742980.4518679008</v>
      </c>
      <c r="H25" s="14" t="s">
        <v>3</v>
      </c>
      <c r="I25" s="1"/>
    </row>
    <row r="26" spans="1:9" x14ac:dyDescent="0.25">
      <c r="A26" s="1"/>
      <c r="B26" s="102" t="s">
        <v>117</v>
      </c>
      <c r="C26" s="103"/>
      <c r="D26" s="103"/>
      <c r="E26" s="103"/>
      <c r="F26" s="104"/>
      <c r="G26" s="26">
        <f>(G23-G24)*'Fane 15. Nøgletal'!C18+G24*'Fane 15. Nøgletal'!C19+G25*'Fane 15. Nøgletal'!C20</f>
        <v>3069086.4630175596</v>
      </c>
      <c r="H26" s="14" t="s">
        <v>3</v>
      </c>
      <c r="I26" s="1"/>
    </row>
    <row r="27" spans="1:9" x14ac:dyDescent="0.25">
      <c r="A27" s="1"/>
      <c r="B27" s="45"/>
      <c r="C27" s="46"/>
      <c r="D27" s="46"/>
      <c r="E27" s="46"/>
      <c r="F27" s="46"/>
      <c r="G27" s="46"/>
      <c r="H27" s="22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93" t="s">
        <v>118</v>
      </c>
      <c r="C29" s="94"/>
      <c r="D29" s="94"/>
      <c r="E29" s="94"/>
      <c r="F29" s="94"/>
      <c r="G29" s="94"/>
      <c r="H29" s="95"/>
      <c r="I29" s="1"/>
    </row>
    <row r="30" spans="1:9" x14ac:dyDescent="0.25">
      <c r="A30" s="1"/>
      <c r="B30" s="102" t="s">
        <v>119</v>
      </c>
      <c r="C30" s="103"/>
      <c r="D30" s="103"/>
      <c r="E30" s="103"/>
      <c r="F30" s="104"/>
      <c r="G30" s="26">
        <f>(G23-G24)*(1-'Fane 15. Nøgletal'!C18)*(1+'Fane 15. Nøgletal'!C10)+G24*(1-'Fane 15. Nøgletal'!C19)*(1+'Fane 15. Nøgletal'!C11)+G25*(1-'Fane 15. Nøgletal'!C20)*(1+'Fane 15. Nøgletal'!C12)</f>
        <v>172826043.15020555</v>
      </c>
      <c r="H30" s="14" t="s">
        <v>3</v>
      </c>
      <c r="I30" s="1"/>
    </row>
    <row r="31" spans="1:9" x14ac:dyDescent="0.25">
      <c r="A31" s="1"/>
      <c r="B31" s="105" t="s">
        <v>246</v>
      </c>
      <c r="C31" s="106"/>
      <c r="D31" s="106"/>
      <c r="E31" s="106"/>
      <c r="F31" s="107"/>
      <c r="G31" s="26">
        <f>G24*(1-'Fane 15. Nøgletal'!C19)*(1+'Fane 15. Nøgletal'!C11)</f>
        <v>2342840.675494404</v>
      </c>
      <c r="H31" s="14" t="s">
        <v>3</v>
      </c>
      <c r="I31" s="1"/>
    </row>
    <row r="32" spans="1:9" x14ac:dyDescent="0.25">
      <c r="A32" s="1"/>
      <c r="B32" s="105" t="s">
        <v>247</v>
      </c>
      <c r="C32" s="106"/>
      <c r="D32" s="106"/>
      <c r="E32" s="106"/>
      <c r="F32" s="107"/>
      <c r="G32" s="26">
        <f>G25*(1-'Fane 15. Nøgletal'!C20)*(1+'Fane 15. Nøgletal'!C12)</f>
        <v>2717581.879233439</v>
      </c>
      <c r="H32" s="14" t="s">
        <v>3</v>
      </c>
      <c r="I32" s="1"/>
    </row>
    <row r="33" spans="1:9" x14ac:dyDescent="0.25">
      <c r="A33" s="1"/>
      <c r="B33" s="102" t="s">
        <v>153</v>
      </c>
      <c r="C33" s="103"/>
      <c r="D33" s="103"/>
      <c r="E33" s="103"/>
      <c r="F33" s="104"/>
      <c r="G33" s="26">
        <f>-'Fane 13. Bortfald'!E18*(1+'Fane 15. Nøgletal'!C12)</f>
        <v>0</v>
      </c>
      <c r="H33" s="14" t="s">
        <v>3</v>
      </c>
      <c r="I33" s="1"/>
    </row>
    <row r="34" spans="1:9" x14ac:dyDescent="0.25">
      <c r="A34" s="1"/>
      <c r="B34" s="102" t="s">
        <v>120</v>
      </c>
      <c r="C34" s="103"/>
      <c r="D34" s="103"/>
      <c r="E34" s="103"/>
      <c r="F34" s="104"/>
      <c r="G34" s="26">
        <f>(G30-SUM(G31:G32))*'Fane 15. Nøgletal'!C18+G31*'Fane 15. Nøgletal'!C19+(G32+G33)*'Fane 15. Nøgletal'!C20</f>
        <v>3067013.5237869867</v>
      </c>
      <c r="H34" s="14" t="s">
        <v>3</v>
      </c>
      <c r="I34" s="1"/>
    </row>
    <row r="35" spans="1:9" x14ac:dyDescent="0.25">
      <c r="A35" s="1"/>
      <c r="B35" s="45"/>
      <c r="C35" s="46"/>
      <c r="D35" s="46"/>
      <c r="E35" s="46"/>
      <c r="F35" s="46"/>
      <c r="G35" s="46"/>
      <c r="H35" s="22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93" t="s">
        <v>129</v>
      </c>
      <c r="C37" s="94"/>
      <c r="D37" s="94"/>
      <c r="E37" s="94"/>
      <c r="F37" s="94"/>
      <c r="G37" s="94"/>
      <c r="H37" s="95"/>
      <c r="I37" s="1"/>
    </row>
    <row r="38" spans="1:9" x14ac:dyDescent="0.25">
      <c r="A38" s="1"/>
      <c r="B38" s="102" t="s">
        <v>124</v>
      </c>
      <c r="C38" s="103"/>
      <c r="D38" s="103"/>
      <c r="E38" s="103"/>
      <c r="F38" s="104"/>
      <c r="G38" s="26">
        <f>(SUM(G30,G33)-G34)*(1+'Fane 15. Nøgletal'!C12)</f>
        <v>173103282.51005903</v>
      </c>
      <c r="H38" s="14" t="s">
        <v>3</v>
      </c>
      <c r="I38" s="1"/>
    </row>
    <row r="39" spans="1:9" x14ac:dyDescent="0.25">
      <c r="A39" s="1"/>
      <c r="B39" s="102" t="s">
        <v>154</v>
      </c>
      <c r="C39" s="103"/>
      <c r="D39" s="103"/>
      <c r="E39" s="103"/>
      <c r="F39" s="104"/>
      <c r="G39" s="26">
        <f>-'Fane 13. Bortfald'!E24*(1+'Fane 15. Nøgletal'!C12)</f>
        <v>0</v>
      </c>
      <c r="H39" s="14" t="s">
        <v>3</v>
      </c>
      <c r="I39" s="1"/>
    </row>
    <row r="40" spans="1:9" x14ac:dyDescent="0.25">
      <c r="A40" s="1"/>
      <c r="B40" s="102" t="s">
        <v>121</v>
      </c>
      <c r="C40" s="103"/>
      <c r="D40" s="103"/>
      <c r="E40" s="103"/>
      <c r="F40" s="104"/>
      <c r="G40" s="26">
        <f>(G38+G39)*'Fane 15. Nøgletal'!C20</f>
        <v>4916133.2232856769</v>
      </c>
      <c r="H40" s="14" t="s">
        <v>3</v>
      </c>
      <c r="I40" s="1"/>
    </row>
    <row r="41" spans="1:9" x14ac:dyDescent="0.25">
      <c r="A41" s="1"/>
      <c r="B41" s="45"/>
      <c r="C41" s="46"/>
      <c r="D41" s="46"/>
      <c r="E41" s="46"/>
      <c r="F41" s="46"/>
      <c r="G41" s="46"/>
      <c r="H41" s="22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93" t="s">
        <v>130</v>
      </c>
      <c r="C43" s="94"/>
      <c r="D43" s="94"/>
      <c r="E43" s="94"/>
      <c r="F43" s="94"/>
      <c r="G43" s="94"/>
      <c r="H43" s="95"/>
      <c r="I43" s="1"/>
    </row>
    <row r="44" spans="1:9" x14ac:dyDescent="0.25">
      <c r="A44" s="1"/>
      <c r="B44" s="102" t="s">
        <v>123</v>
      </c>
      <c r="C44" s="103"/>
      <c r="D44" s="103"/>
      <c r="E44" s="103"/>
      <c r="F44" s="104"/>
      <c r="G44" s="26">
        <f>(G38+G39-G40)*(1+'Fane 15. Nøgletal'!C12)</f>
        <v>171500436.1277228</v>
      </c>
      <c r="H44" s="14" t="s">
        <v>3</v>
      </c>
      <c r="I44" s="1"/>
    </row>
    <row r="45" spans="1:9" x14ac:dyDescent="0.25">
      <c r="A45" s="1"/>
      <c r="B45" s="102" t="s">
        <v>155</v>
      </c>
      <c r="C45" s="103"/>
      <c r="D45" s="103"/>
      <c r="E45" s="103"/>
      <c r="F45" s="104"/>
      <c r="G45" s="26">
        <f>-'Fane 13. Bortfald'!E30*(1+'Fane 15. Nøgletal'!C12)</f>
        <v>0</v>
      </c>
      <c r="H45" s="14" t="s">
        <v>3</v>
      </c>
      <c r="I45" s="1"/>
    </row>
    <row r="46" spans="1:9" x14ac:dyDescent="0.25">
      <c r="A46" s="1"/>
      <c r="B46" s="102" t="s">
        <v>122</v>
      </c>
      <c r="C46" s="103"/>
      <c r="D46" s="103"/>
      <c r="E46" s="103"/>
      <c r="F46" s="104"/>
      <c r="G46" s="26">
        <f>(G44+G45)*'Fane 15. Nøgletal'!C20</f>
        <v>4870612.3860273277</v>
      </c>
      <c r="H46" s="14" t="s">
        <v>3</v>
      </c>
      <c r="I46" s="1"/>
    </row>
    <row r="47" spans="1:9" x14ac:dyDescent="0.25">
      <c r="A47" s="1"/>
      <c r="B47" s="45"/>
      <c r="C47" s="46"/>
      <c r="D47" s="46"/>
      <c r="E47" s="46"/>
      <c r="F47" s="46"/>
      <c r="G47" s="46"/>
      <c r="H47" s="22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algorithmName="SHA-512" hashValue="rbp8GKUPUjixG5NEotq2ym36BDavG50SU70SWfvpMtu/S8Fwj3Wm2DJPbM0YM53nk4e7LFIN49kKWFqucKXKrg==" saltValue="lC95Ogiy8HNhi8kAkXrlVw==" spinCount="100000" sheet="1" objects="1" scenarios="1"/>
  <mergeCells count="32">
    <mergeCell ref="B22:H22"/>
    <mergeCell ref="B45:F45"/>
    <mergeCell ref="B23:F23"/>
    <mergeCell ref="B25:F25"/>
    <mergeCell ref="B26:F26"/>
    <mergeCell ref="B40:F40"/>
    <mergeCell ref="B43:H43"/>
    <mergeCell ref="B44:F44"/>
    <mergeCell ref="B29:H29"/>
    <mergeCell ref="B30:F30"/>
    <mergeCell ref="B34:F34"/>
    <mergeCell ref="B37:H37"/>
    <mergeCell ref="B39:F39"/>
    <mergeCell ref="B24:F24"/>
    <mergeCell ref="B31:F31"/>
    <mergeCell ref="B32:F32"/>
    <mergeCell ref="B11:F11"/>
    <mergeCell ref="B2:H2"/>
    <mergeCell ref="B38:F38"/>
    <mergeCell ref="B46:F46"/>
    <mergeCell ref="B19:F19"/>
    <mergeCell ref="B4:H4"/>
    <mergeCell ref="B5:F5"/>
    <mergeCell ref="B6:F6"/>
    <mergeCell ref="B9:H9"/>
    <mergeCell ref="B10:F10"/>
    <mergeCell ref="B12:F12"/>
    <mergeCell ref="B13:F13"/>
    <mergeCell ref="B16:H16"/>
    <mergeCell ref="B17:F17"/>
    <mergeCell ref="B18:F18"/>
    <mergeCell ref="B33:F3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7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5" width="9.140625" style="2"/>
    <col min="6" max="6" width="19.85546875" style="2" customWidth="1"/>
    <col min="7" max="7" width="10.285156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3" t="s">
        <v>146</v>
      </c>
      <c r="C3" s="73"/>
      <c r="D3" s="73"/>
      <c r="E3" s="73"/>
      <c r="F3" s="73"/>
      <c r="G3" s="73"/>
      <c r="H3" s="73"/>
      <c r="I3" s="1"/>
    </row>
    <row r="4" spans="1:9" ht="15" customHeight="1" x14ac:dyDescent="0.25">
      <c r="A4" s="1"/>
      <c r="B4" s="73"/>
      <c r="C4" s="73"/>
      <c r="D4" s="73"/>
      <c r="E4" s="73"/>
      <c r="F4" s="73"/>
      <c r="G4" s="73"/>
      <c r="H4" s="73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3" t="s">
        <v>10</v>
      </c>
      <c r="C8" s="94"/>
      <c r="D8" s="94"/>
      <c r="E8" s="94"/>
      <c r="F8" s="94"/>
      <c r="G8" s="94"/>
      <c r="H8" s="95"/>
      <c r="I8" s="1"/>
    </row>
    <row r="9" spans="1:9" x14ac:dyDescent="0.25">
      <c r="A9" s="1"/>
      <c r="B9" s="102" t="s">
        <v>131</v>
      </c>
      <c r="C9" s="103"/>
      <c r="D9" s="103"/>
      <c r="E9" s="103"/>
      <c r="F9" s="104"/>
      <c r="G9" s="25">
        <v>5.3906405258137308E-4</v>
      </c>
      <c r="H9" s="14"/>
      <c r="I9" s="1"/>
    </row>
    <row r="10" spans="1:9" x14ac:dyDescent="0.25">
      <c r="A10" s="1"/>
      <c r="B10" s="102" t="s">
        <v>202</v>
      </c>
      <c r="C10" s="103"/>
      <c r="D10" s="103"/>
      <c r="E10" s="103"/>
      <c r="F10" s="104"/>
      <c r="G10" s="25">
        <v>0</v>
      </c>
      <c r="H10" s="14"/>
      <c r="I10" s="1"/>
    </row>
    <row r="11" spans="1:9" x14ac:dyDescent="0.25">
      <c r="A11" s="1"/>
      <c r="B11" s="45"/>
      <c r="C11" s="46"/>
      <c r="D11" s="46"/>
      <c r="E11" s="46"/>
      <c r="F11" s="46"/>
      <c r="G11" s="46"/>
      <c r="H11" s="22"/>
      <c r="I11" s="1"/>
    </row>
    <row r="12" spans="1:9" ht="40.5" customHeight="1" x14ac:dyDescent="0.25">
      <c r="A12" s="1"/>
      <c r="B12" s="75" t="s">
        <v>212</v>
      </c>
      <c r="C12" s="76"/>
      <c r="D12" s="76"/>
      <c r="E12" s="76"/>
      <c r="F12" s="76"/>
      <c r="G12" s="76"/>
      <c r="H12" s="77"/>
      <c r="I12" s="1"/>
    </row>
    <row r="13" spans="1:9" ht="30.75" customHeight="1" x14ac:dyDescent="0.25">
      <c r="A13" s="20"/>
      <c r="B13" s="110"/>
      <c r="C13" s="110"/>
      <c r="D13" s="110"/>
      <c r="E13" s="110"/>
      <c r="F13" s="110"/>
      <c r="G13" s="110"/>
      <c r="H13" s="110"/>
      <c r="I13" s="20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</sheetData>
  <sheetProtection algorithmName="SHA-512" hashValue="o5bNxOZlrSaaxruQpQQaYJXlRjB3kv9JkA2eGNldbsXGzcA4D/2ThpvYAKZmHxFtG9leMldDQJm3KxYHSvHPDw==" saltValue="HBkFb5a3tm59d3jBidyM6A==" spinCount="100000" sheet="1" objects="1" scenarios="1"/>
  <mergeCells count="6">
    <mergeCell ref="B3:H4"/>
    <mergeCell ref="B13:H13"/>
    <mergeCell ref="B9:F9"/>
    <mergeCell ref="B8:H8"/>
    <mergeCell ref="B10:F10"/>
    <mergeCell ref="B12: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20</vt:i4>
      </vt:variant>
    </vt:vector>
  </HeadingPairs>
  <TitlesOfParts>
    <vt:vector size="20" baseType="lpstr">
      <vt:lpstr>1. Forside</vt:lpstr>
      <vt:lpstr>Fane 2.1. Økonomisk ramme 2020</vt:lpstr>
      <vt:lpstr>Fane 2.2. Økonomisk ramme 2021</vt:lpstr>
      <vt:lpstr>Fane 2.3. Økonomisk ramme 2022</vt:lpstr>
      <vt:lpstr>Fane 2.4. Økonomisk ramme 2023</vt:lpstr>
      <vt:lpstr>Fane 3. Omkostninger i ØR2019</vt:lpstr>
      <vt:lpstr>Fane 4.1. Gen. krav - drift</vt:lpstr>
      <vt:lpstr>Fane 4.2. Gen. krav - anlæg</vt:lpstr>
      <vt:lpstr>Fane 5. Individuelt eff. krav</vt:lpstr>
      <vt:lpstr>Fane 6. Ikke-påvirkelige omk.</vt:lpstr>
      <vt:lpstr>Fane 7. Kontrol af ØR2018</vt:lpstr>
      <vt:lpstr>Fane 8. Korrektioner</vt:lpstr>
      <vt:lpstr>Fane 9. Anlægsprojekter</vt:lpstr>
      <vt:lpstr>Fane 10.1. Varige tillæg</vt:lpstr>
      <vt:lpstr>Fane 10.2. Engangstillæg</vt:lpstr>
      <vt:lpstr>Fane 11. Periodevise driftsomk.</vt:lpstr>
      <vt:lpstr>Fane 12. Tilknyttet aktivitet</vt:lpstr>
      <vt:lpstr>Fane 13. Bortfald</vt:lpstr>
      <vt:lpstr>Fane 14. Hist. over-underdæk.</vt:lpstr>
      <vt:lpstr>Fane 15.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Mie Nørgaard Hilstrøm</cp:lastModifiedBy>
  <cp:lastPrinted>2016-06-14T12:57:30Z</cp:lastPrinted>
  <dcterms:created xsi:type="dcterms:W3CDTF">2016-06-02T08:51:18Z</dcterms:created>
  <dcterms:modified xsi:type="dcterms:W3CDTF">2019-08-29T18:37:33Z</dcterms:modified>
</cp:coreProperties>
</file>