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and Ballerup AS (V19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28" i="27" l="1"/>
  <c r="E18" i="27"/>
  <c r="E29" i="27" l="1"/>
  <c r="E10" i="11"/>
  <c r="E18" i="32" l="1"/>
  <c r="E9" i="32"/>
  <c r="E32" i="32" l="1"/>
  <c r="E34" i="32" s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21" i="39"/>
  <c r="C20" i="39"/>
  <c r="E13" i="39"/>
  <c r="E12" i="39"/>
  <c r="E29" i="39"/>
  <c r="E28" i="39"/>
  <c r="E30" i="39" s="1"/>
  <c r="C20" i="22" s="1"/>
  <c r="C37" i="39"/>
  <c r="C36" i="39"/>
  <c r="E21" i="39"/>
  <c r="E20" i="39"/>
  <c r="E37" i="39"/>
  <c r="E36" i="39"/>
  <c r="C22" i="39" l="1"/>
  <c r="C20" i="15" s="1"/>
  <c r="E14" i="39"/>
  <c r="C25" i="2" s="1"/>
  <c r="C30" i="39"/>
  <c r="C19" i="22" s="1"/>
  <c r="C21" i="22" s="1"/>
  <c r="C38" i="39"/>
  <c r="C19" i="23" s="1"/>
  <c r="E38" i="39"/>
  <c r="C20" i="23" s="1"/>
  <c r="E22" i="39"/>
  <c r="C21" i="15" s="1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27" i="32" l="1"/>
  <c r="E37" i="32" l="1"/>
  <c r="E39" i="32" s="1"/>
  <c r="C24" i="15" s="1"/>
  <c r="C23" i="22" s="1"/>
  <c r="C30" i="2"/>
  <c r="F11" i="11" l="1"/>
  <c r="C10" i="37" s="1"/>
  <c r="C12" i="37" s="1"/>
  <c r="C13" i="37" s="1"/>
  <c r="C10" i="2" s="1"/>
  <c r="G11" i="11"/>
  <c r="E11" i="21" l="1"/>
  <c r="C11" i="21"/>
  <c r="E11" i="29"/>
  <c r="C11" i="29"/>
  <c r="C15" i="19"/>
  <c r="C16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2" i="37" s="1"/>
  <c r="E13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6" i="27" s="1"/>
  <c r="C9" i="2" l="1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<sst xmlns="http://schemas.openxmlformats.org/spreadsheetml/2006/main" count="605" uniqueCount="247">
  <si>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</si>
  <si>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</si>
  <si>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</si>
  <si>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</si>
  <si>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</si>
  <si>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</si>
  <si>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</si>
  <si>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</si>
  <si>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</si>
  <si>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</si>
  <si>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</si>
  <si>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</si>
  <si>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</si>
  <si>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</si>
  <si>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</si>
  <si>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</si>
  <si>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</si>
  <si>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</si>
  <si>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</si>
  <si>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</si>
  <si>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</si>
  <si>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</si>
  <si>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</si>
  <si>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</si>
  <si>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</si>
  <si>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</si>
  <si>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</si>
  <si>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</si>
  <si>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</si>
  <si>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</si>
  <si>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</si>
  <si>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</si>
  <si>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</si>
  <si>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</si>
  <si>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</si>
  <si>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</si>
  <si>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</si>
  <si>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</si>
  <si>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</si>
  <si>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</si>
  <si>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</si>
  <si>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</si>
  <si>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</si>
  <si>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</si>
  <si>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</si>
  <si>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</si>
  <si>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</si>
  <si>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</si>
  <si>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</si>
  <si>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</si>
  <si>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</si>
  <si>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</si>
  <si>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</si>
  <si>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</si>
  <si>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</si>
  <si>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</si>
  <si>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</si>
  <si>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</si>
  <si>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</si>
  <si>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</si>
  <si>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</si>
  <si>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</si>
  <si>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</si>
  <si>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</si>
  <si>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</si>
  <si>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</si>
  <si>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</si>
  <si>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</si>
  <si>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</si>
  <si>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</si>
  <si>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</si>
  <si>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</si>
  <si>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</si>
  <si>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</si>
  <si>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</si>
  <si>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</si>
  <si>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</si>
  <si>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</si>
  <si>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</si>
  <si>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</si>
  <si>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</si>
  <si>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</si>
  <si>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</si>
  <si>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</si>
  <si>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</si>
  <si>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</si>
  <si>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</si>
  <si>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</si>
  <si>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</si>
  <si>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</si>
  <si>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</si>
  <si>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</si>
  <si>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</si>
  <si>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</si>
  <si>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</si>
  <si>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</si>
  <si>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</si>
  <si>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</si>
  <si>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</si>
  <si>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</si>
  <si>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</si>
  <si>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</si>
  <si>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</si>
  <si>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</si>
  <si>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</si>
  <si>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</si>
  <si>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</si>
  <si>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</si>
  <si>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</si>
  <si>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</si>
  <si>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</si>
  <si>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</si>
  <si>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</si>
  <si>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</si>
  <si>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</si>
  <si>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</si>
  <si>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</si>
  <si>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</si>
  <si>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</si>
  <si>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</si>
  <si>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</si>
  <si>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</si>
  <si>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</si>
  <si>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</si>
  <si>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</si>
  <si>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</si>
  <si>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</si>
  <si>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</si>
  <si>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</si>
  <si>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</si>
  <si>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</si>
  <si>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</si>
  <si>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</si>
  <si>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</si>
  <si>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</si>
  <si>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</si>
  <si>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</si>
  <si>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</si>
  <si>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</si>
  <si>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</si>
  <si>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</si>
  <si>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</si>
  <si>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</si>
  <si>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</si>
  <si>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</si>
  <si>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</si>
  <si>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</si>
  <si>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</si>
  <si>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</si>
  <si>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</si>
  <si>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</si>
  <si>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</si>
  <si>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</si>
  <si>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</si>
  <si>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</si>
  <si>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</si>
  <si>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</si>
  <si>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</si>
  <si>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</si>
  <si>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</si>
  <si>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</si>
  <si>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</si>
  <si>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</si>
  <si>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</si>
  <si>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</si>
  <si>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</si>
  <si>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</si>
  <si>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</si>
  <si>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</si>
  <si>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</si>
  <si>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</si>
  <si>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</si>
  <si>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</si>
  <si>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</si>
  <si>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</si>
  <si>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</si>
  <si>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</si>
  <si>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</si>
  <si>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</si>
  <si>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</si>
  <si>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</si>
  <si>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</si>
  <si>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</si>
  <si>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</si>
  <si>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</si>
  <si>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</si>
  <si>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</si>
  <si>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</si>
  <si>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</si>
  <si>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</si>
  <si>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</si>
  <si>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</si>
  <si>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</si>
  <si>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</si>
  <si>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</si>
  <si>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</si>
  <si>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</si>
  <si>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</si>
  <si>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</si>
  <si>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</si>
  <si>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</si>
  <si>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</si>
  <si>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</si>
  <si>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</si>
  <si>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</si>
  <si>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</si>
  <si>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</si>
  <si>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</si>
  <si>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</si>
  <si>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</si>
  <si>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</si>
  <si>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</si>
  <si>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</si>
  <si>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</si>
  <si>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</si>
  <si>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</si>
  <si>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</si>
  <si>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</si>
  <si>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</si>
  <si>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</si>
  <si>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</si>
  <si>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</si>
  <si>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</si>
  <si>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</si>
  <si>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</si>
  <si>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</si>
  <si>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</si>
  <si>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</si>
  <si>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</si>
  <si>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</si>
  <si>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</si>
  <si>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</si>
  <si>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</si>
  <si>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</si>
  <si>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Ø 50mm &lt; Ledningsnet ≤ Ø110 mm</t>
  </si>
  <si>
    <t>Anlægsprojekter igangsat senest 1. marts 2016</t>
  </si>
  <si>
    <t>Byggemodning Dyvelåsen og nye tilslutninger</t>
  </si>
  <si>
    <t>Grundvandsbeskyttelse - Tørvesletten</t>
  </si>
  <si>
    <t>Ingen engangstillæg</t>
  </si>
  <si>
    <t xml:space="preserve">Effektiviseringskrav </t>
  </si>
  <si>
    <t>Til indregning i den økonomiske ramme for 2020</t>
  </si>
  <si>
    <t>Tillæg/fradrag i den økonomiske ramme for 2020 i alt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</si>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</sst>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2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0" borderId="1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horizontal="left"/>
    </xf>
    <xf numFmtId="0" fontId="8" fillId="0" borderId="6" xfId="0" applyFont="1" applyFill="1" applyBorder="1" applyAlignment="1" applyProtection="1">
      <alignment horizontal="left"/>
    </xf>
    <xf numFmtId="0" fontId="8" fillId="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  <sheetName val="Ark1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7" t="s">
        <v>4</v>
      </c>
      <c r="E6" s="67"/>
      <c r="F6" s="67"/>
      <c r="G6" s="67"/>
      <c r="H6" s="3"/>
      <c r="I6" s="1"/>
    </row>
    <row r="7" spans="1:9" ht="15" customHeight="1" x14ac:dyDescent="0.2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25">
      <c r="A8" s="1"/>
      <c r="B8" s="1"/>
      <c r="C8" s="4"/>
      <c r="D8" s="69" t="s">
        <v>192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4" t="s">
        <v>56</v>
      </c>
      <c r="E13" s="65"/>
      <c r="F13" s="65"/>
      <c r="G13" s="66"/>
      <c r="H13" s="1"/>
      <c r="I13" s="1"/>
    </row>
    <row r="14" spans="1:9" x14ac:dyDescent="0.25">
      <c r="A14" s="1"/>
      <c r="B14" s="1"/>
      <c r="C14" s="6" t="s">
        <v>22</v>
      </c>
      <c r="D14" s="64" t="s">
        <v>177</v>
      </c>
      <c r="E14" s="65"/>
      <c r="F14" s="65"/>
      <c r="G14" s="66"/>
      <c r="H14" s="1"/>
      <c r="I14" s="1"/>
    </row>
    <row r="15" spans="1:9" x14ac:dyDescent="0.25">
      <c r="A15" s="1"/>
      <c r="B15" s="1"/>
      <c r="C15" s="6" t="s">
        <v>55</v>
      </c>
      <c r="D15" s="64" t="s">
        <v>133</v>
      </c>
      <c r="E15" s="65"/>
      <c r="F15" s="65"/>
      <c r="G15" s="66"/>
      <c r="H15" s="1"/>
      <c r="I15" s="1"/>
    </row>
    <row r="16" spans="1:9" x14ac:dyDescent="0.25">
      <c r="A16" s="1"/>
      <c r="B16" s="1"/>
      <c r="C16" s="6" t="s">
        <v>57</v>
      </c>
      <c r="D16" s="64" t="s">
        <v>134</v>
      </c>
      <c r="E16" s="65"/>
      <c r="F16" s="65"/>
      <c r="G16" s="66"/>
      <c r="H16" s="1"/>
      <c r="I16" s="1"/>
    </row>
    <row r="17" spans="1:9" x14ac:dyDescent="0.25">
      <c r="A17" s="1"/>
      <c r="B17" s="1"/>
      <c r="C17" s="6" t="s">
        <v>224</v>
      </c>
      <c r="D17" s="64" t="s">
        <v>66</v>
      </c>
      <c r="E17" s="65"/>
      <c r="F17" s="65"/>
      <c r="G17" s="66"/>
      <c r="H17" s="1"/>
      <c r="I17" s="1"/>
    </row>
    <row r="18" spans="1:9" x14ac:dyDescent="0.25">
      <c r="A18" s="1"/>
      <c r="B18" s="1"/>
      <c r="C18" s="34" t="s">
        <v>196</v>
      </c>
      <c r="D18" s="70" t="s">
        <v>162</v>
      </c>
      <c r="E18" s="71"/>
      <c r="F18" s="71"/>
      <c r="G18" s="72"/>
      <c r="H18" s="1"/>
      <c r="I18" s="1"/>
    </row>
    <row r="19" spans="1:9" x14ac:dyDescent="0.25">
      <c r="A19" s="1"/>
      <c r="B19" s="1"/>
      <c r="C19" s="34" t="s">
        <v>197</v>
      </c>
      <c r="D19" s="70" t="s">
        <v>163</v>
      </c>
      <c r="E19" s="71"/>
      <c r="F19" s="71"/>
      <c r="G19" s="72"/>
      <c r="H19" s="1"/>
      <c r="I19" s="1"/>
    </row>
    <row r="20" spans="1:9" x14ac:dyDescent="0.25">
      <c r="A20" s="1"/>
      <c r="B20" s="1"/>
      <c r="C20" s="34" t="s">
        <v>7</v>
      </c>
      <c r="D20" s="70" t="s">
        <v>10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198</v>
      </c>
      <c r="D21" s="61" t="s">
        <v>17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52" t="s">
        <v>11</v>
      </c>
      <c r="E29" s="53"/>
      <c r="F29" s="53"/>
      <c r="G29" s="54"/>
      <c r="H29" s="1"/>
      <c r="I29" s="1"/>
    </row>
    <row r="30" spans="1:9" x14ac:dyDescent="0.25">
      <c r="A30" s="1"/>
      <c r="B30" s="1"/>
      <c r="C30" s="6" t="s">
        <v>62</v>
      </c>
      <c r="D30" s="58" t="s">
        <v>184</v>
      </c>
      <c r="E30" s="59"/>
      <c r="F30" s="59"/>
      <c r="G30" s="60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AMI8gJIZE+HqSoqrYmtdemJsIFQjowqsVoc/vcFHwv9OhLbNYSvdwE7DckED0BQpVQhdnOuSg3/xoBdIyf8zFw==" saltValue="rRIoquayvcmhbUlhw+Ziag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204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02" t="s">
        <v>69</v>
      </c>
      <c r="C8" s="103"/>
      <c r="D8" s="104"/>
      <c r="E8" s="1"/>
      <c r="F8" s="1"/>
    </row>
    <row r="9" spans="1:6" ht="15" customHeight="1" x14ac:dyDescent="0.25">
      <c r="A9" s="1"/>
      <c r="B9" s="40" t="s">
        <v>48</v>
      </c>
      <c r="C9" s="11" t="s">
        <v>70</v>
      </c>
      <c r="D9" s="11"/>
      <c r="E9" s="1"/>
      <c r="F9" s="1"/>
    </row>
    <row r="10" spans="1:6" x14ac:dyDescent="0.25">
      <c r="A10" s="1"/>
      <c r="B10" s="50" t="s">
        <v>242</v>
      </c>
      <c r="C10" s="9">
        <v>20017871</v>
      </c>
      <c r="D10" s="14" t="s">
        <v>3</v>
      </c>
      <c r="E10" s="1"/>
      <c r="F10" s="1"/>
    </row>
    <row r="11" spans="1:6" x14ac:dyDescent="0.25">
      <c r="A11" s="1"/>
      <c r="B11" s="50" t="s">
        <v>243</v>
      </c>
      <c r="C11" s="9">
        <v>62553</v>
      </c>
      <c r="D11" s="14" t="s">
        <v>3</v>
      </c>
      <c r="E11" s="1"/>
      <c r="F11" s="1"/>
    </row>
    <row r="12" spans="1:6" ht="26.25" x14ac:dyDescent="0.25">
      <c r="A12" s="1"/>
      <c r="B12" s="49" t="s">
        <v>244</v>
      </c>
      <c r="C12" s="9">
        <v>7250805</v>
      </c>
      <c r="D12" s="14" t="s">
        <v>3</v>
      </c>
      <c r="E12" s="1"/>
      <c r="F12" s="1"/>
    </row>
    <row r="13" spans="1:6" x14ac:dyDescent="0.25">
      <c r="A13" s="1"/>
      <c r="B13" s="50" t="s">
        <v>245</v>
      </c>
      <c r="C13" s="9">
        <v>160530</v>
      </c>
      <c r="D13" s="14" t="s">
        <v>3</v>
      </c>
      <c r="E13" s="1"/>
      <c r="F13" s="1"/>
    </row>
    <row r="14" spans="1:6" x14ac:dyDescent="0.25">
      <c r="A14" s="1"/>
      <c r="B14" s="50" t="s">
        <v>246</v>
      </c>
      <c r="C14" s="9">
        <v>1459000</v>
      </c>
      <c r="D14" s="14" t="s">
        <v>3</v>
      </c>
      <c r="E14" s="1"/>
      <c r="F14" s="1"/>
    </row>
    <row r="15" spans="1:6" x14ac:dyDescent="0.25">
      <c r="A15" s="1"/>
      <c r="B15" s="45" t="s">
        <v>71</v>
      </c>
      <c r="C15" s="12">
        <f>SUM(C10:C14)</f>
        <v>28950759</v>
      </c>
      <c r="D15" s="13" t="s">
        <v>3</v>
      </c>
      <c r="E15" s="1"/>
      <c r="F15" s="1"/>
    </row>
    <row r="16" spans="1:6" x14ac:dyDescent="0.25">
      <c r="A16" s="1"/>
      <c r="B16" s="45" t="s">
        <v>72</v>
      </c>
      <c r="C16" s="12">
        <f>C15*(1+'Fane 14. Nøgletal'!C12)^2</f>
        <v>30102654.404660311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bW7KSCcbthWmDzmfXAs/KjzjLYV49b16FRH2eAjh3xJNeMEedyz4Py8azXrV/dIYYT28k6BgCJeNYz0qcvr2vw==" saltValue="oZrzV41f7H3gAzZSm+eqV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205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48"/>
      <c r="C5" s="48"/>
      <c r="D5" s="48"/>
      <c r="E5" s="48"/>
      <c r="F5" s="48"/>
      <c r="G5" s="1"/>
    </row>
    <row r="6" spans="1:7" ht="15" customHeight="1" x14ac:dyDescent="0.25">
      <c r="A6" s="1"/>
      <c r="B6" s="102" t="s">
        <v>52</v>
      </c>
      <c r="C6" s="103"/>
      <c r="D6" s="103"/>
      <c r="E6" s="103"/>
      <c r="F6" s="104"/>
      <c r="G6" s="1"/>
    </row>
    <row r="7" spans="1:7" ht="15" customHeight="1" x14ac:dyDescent="0.25">
      <c r="A7" s="1"/>
      <c r="B7" s="105" t="s">
        <v>50</v>
      </c>
      <c r="C7" s="106"/>
      <c r="D7" s="107"/>
      <c r="E7" s="9">
        <v>365306.36666666693</v>
      </c>
      <c r="F7" s="14" t="s">
        <v>3</v>
      </c>
      <c r="G7" s="1"/>
    </row>
    <row r="8" spans="1:7" ht="15" customHeight="1" x14ac:dyDescent="0.25">
      <c r="A8" s="1"/>
      <c r="B8" s="105" t="s">
        <v>51</v>
      </c>
      <c r="C8" s="106"/>
      <c r="D8" s="107"/>
      <c r="E8" s="9">
        <v>1052387.7792134956</v>
      </c>
      <c r="F8" s="14" t="s">
        <v>3</v>
      </c>
      <c r="G8" s="1"/>
    </row>
    <row r="9" spans="1:7" ht="15" customHeight="1" x14ac:dyDescent="0.25">
      <c r="A9" s="1"/>
      <c r="B9" s="99" t="s">
        <v>186</v>
      </c>
      <c r="C9" s="100"/>
      <c r="D9" s="101"/>
      <c r="E9" s="10">
        <f>SUM(E7:E8)</f>
        <v>1417694.1458801625</v>
      </c>
      <c r="F9" s="17" t="s">
        <v>3</v>
      </c>
      <c r="G9" s="1"/>
    </row>
    <row r="10" spans="1:7" ht="15" customHeight="1" x14ac:dyDescent="0.25">
      <c r="A10" s="1"/>
      <c r="B10" s="45"/>
      <c r="C10" s="46"/>
      <c r="D10" s="46"/>
      <c r="E10" s="46"/>
      <c r="F10" s="22"/>
      <c r="G10" s="1"/>
    </row>
    <row r="11" spans="1:7" ht="28.5" customHeight="1" x14ac:dyDescent="0.25">
      <c r="A11" s="1"/>
      <c r="B11" s="87" t="s">
        <v>188</v>
      </c>
      <c r="C11" s="88"/>
      <c r="D11" s="88"/>
      <c r="E11" s="88"/>
      <c r="F11" s="8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2" t="s">
        <v>165</v>
      </c>
      <c r="C14" s="103"/>
      <c r="D14" s="103"/>
      <c r="E14" s="103"/>
      <c r="F14" s="104"/>
      <c r="G14" s="1"/>
    </row>
    <row r="15" spans="1:7" x14ac:dyDescent="0.25">
      <c r="A15" s="1"/>
      <c r="B15" s="105" t="s">
        <v>166</v>
      </c>
      <c r="C15" s="106"/>
      <c r="D15" s="107"/>
      <c r="E15" s="9">
        <v>51409709.726655461</v>
      </c>
      <c r="F15" s="14" t="s">
        <v>3</v>
      </c>
      <c r="G15" s="1"/>
    </row>
    <row r="16" spans="1:7" x14ac:dyDescent="0.25">
      <c r="A16" s="1"/>
      <c r="B16" s="105" t="s">
        <v>167</v>
      </c>
      <c r="C16" s="106"/>
      <c r="D16" s="107"/>
      <c r="E16" s="9">
        <v>52151475</v>
      </c>
      <c r="F16" s="14" t="s">
        <v>3</v>
      </c>
      <c r="G16" s="1"/>
    </row>
    <row r="17" spans="1:7" x14ac:dyDescent="0.25">
      <c r="A17" s="1"/>
      <c r="B17" s="105" t="s">
        <v>49</v>
      </c>
      <c r="C17" s="106"/>
      <c r="D17" s="107"/>
      <c r="E17" s="9">
        <v>0</v>
      </c>
      <c r="F17" s="14" t="s">
        <v>3</v>
      </c>
      <c r="G17" s="1"/>
    </row>
    <row r="18" spans="1:7" x14ac:dyDescent="0.25">
      <c r="A18" s="1"/>
      <c r="B18" s="99" t="s">
        <v>187</v>
      </c>
      <c r="C18" s="100"/>
      <c r="D18" s="101"/>
      <c r="E18" s="10">
        <f>E15-(E16-E17)</f>
        <v>-741765.27334453911</v>
      </c>
      <c r="F18" s="17" t="s">
        <v>3</v>
      </c>
      <c r="G18" s="1"/>
    </row>
    <row r="19" spans="1:7" x14ac:dyDescent="0.25">
      <c r="A19" s="1"/>
      <c r="B19" s="45"/>
      <c r="C19" s="46"/>
      <c r="D19" s="46"/>
      <c r="E19" s="46"/>
      <c r="F19" s="22"/>
      <c r="G19" s="1"/>
    </row>
    <row r="20" spans="1:7" ht="30" customHeight="1" x14ac:dyDescent="0.25">
      <c r="A20" s="1"/>
      <c r="B20" s="87" t="s">
        <v>189</v>
      </c>
      <c r="C20" s="88"/>
      <c r="D20" s="88"/>
      <c r="E20" s="88"/>
      <c r="F20" s="8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02" t="s">
        <v>77</v>
      </c>
      <c r="C23" s="103"/>
      <c r="D23" s="103"/>
      <c r="E23" s="103"/>
      <c r="F23" s="104"/>
      <c r="G23" s="1"/>
    </row>
    <row r="24" spans="1:7" x14ac:dyDescent="0.25">
      <c r="A24" s="1"/>
      <c r="B24" s="105" t="s">
        <v>78</v>
      </c>
      <c r="C24" s="106"/>
      <c r="D24" s="107"/>
      <c r="E24" s="9">
        <v>56890521.842066593</v>
      </c>
      <c r="F24" s="14" t="s">
        <v>3</v>
      </c>
      <c r="G24" s="1"/>
    </row>
    <row r="25" spans="1:7" x14ac:dyDescent="0.25">
      <c r="A25" s="1"/>
      <c r="B25" s="105" t="s">
        <v>79</v>
      </c>
      <c r="C25" s="106"/>
      <c r="D25" s="107"/>
      <c r="E25" s="9">
        <v>56820519</v>
      </c>
      <c r="F25" s="14" t="s">
        <v>3</v>
      </c>
      <c r="G25" s="1"/>
    </row>
    <row r="26" spans="1:7" x14ac:dyDescent="0.25">
      <c r="A26" s="1"/>
      <c r="B26" s="105" t="s">
        <v>49</v>
      </c>
      <c r="C26" s="106"/>
      <c r="D26" s="107"/>
      <c r="E26" s="9">
        <v>0</v>
      </c>
      <c r="F26" s="14" t="s">
        <v>3</v>
      </c>
      <c r="G26" s="1"/>
    </row>
    <row r="27" spans="1:7" x14ac:dyDescent="0.25">
      <c r="A27" s="1"/>
      <c r="B27" s="99" t="s">
        <v>187</v>
      </c>
      <c r="C27" s="100"/>
      <c r="D27" s="101"/>
      <c r="E27" s="10">
        <f>E24-(E25-E26)</f>
        <v>70002.842066593468</v>
      </c>
      <c r="F27" s="17" t="s">
        <v>3</v>
      </c>
      <c r="G27" s="1"/>
    </row>
    <row r="28" spans="1:7" x14ac:dyDescent="0.25">
      <c r="A28" s="1"/>
      <c r="B28" s="45"/>
      <c r="C28" s="46"/>
      <c r="D28" s="46"/>
      <c r="E28" s="46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02" t="s">
        <v>240</v>
      </c>
      <c r="C31" s="103"/>
      <c r="D31" s="103"/>
      <c r="E31" s="103"/>
      <c r="F31" s="104"/>
      <c r="G31" s="1"/>
    </row>
    <row r="32" spans="1:7" x14ac:dyDescent="0.25">
      <c r="A32" s="1"/>
      <c r="B32" s="99" t="s">
        <v>241</v>
      </c>
      <c r="C32" s="100"/>
      <c r="D32" s="101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337964.43626781169</v>
      </c>
      <c r="F32" s="17" t="s">
        <v>3</v>
      </c>
      <c r="G32" s="1"/>
    </row>
    <row r="33" spans="1:7" x14ac:dyDescent="0.25">
      <c r="A33" s="1"/>
      <c r="B33" s="102"/>
      <c r="C33" s="103"/>
      <c r="D33" s="103"/>
      <c r="E33" s="103"/>
      <c r="F33" s="104"/>
      <c r="G33" s="1"/>
    </row>
    <row r="34" spans="1:7" x14ac:dyDescent="0.25">
      <c r="A34" s="1"/>
      <c r="B34" s="1"/>
      <c r="C34" s="1"/>
      <c r="D34" s="1"/>
      <c r="E34" s="1">
        <f>E32/2</f>
        <v>168982.21813390584</v>
      </c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02" t="s">
        <v>180</v>
      </c>
      <c r="C36" s="103"/>
      <c r="D36" s="103"/>
      <c r="E36" s="103"/>
      <c r="F36" s="104"/>
      <c r="G36" s="1"/>
    </row>
    <row r="37" spans="1:7" x14ac:dyDescent="0.25">
      <c r="A37" s="1"/>
      <c r="B37" s="113" t="s">
        <v>53</v>
      </c>
      <c r="C37" s="114"/>
      <c r="D37" s="115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13" t="s">
        <v>185</v>
      </c>
      <c r="C38" s="114"/>
      <c r="D38" s="115"/>
      <c r="E38" s="9">
        <v>2</v>
      </c>
      <c r="F38" s="14" t="s">
        <v>27</v>
      </c>
      <c r="G38" s="1"/>
    </row>
    <row r="39" spans="1:7" ht="15" customHeight="1" x14ac:dyDescent="0.25">
      <c r="A39" s="1"/>
      <c r="B39" s="99" t="s">
        <v>227</v>
      </c>
      <c r="C39" s="100"/>
      <c r="D39" s="101"/>
      <c r="E39" s="10">
        <f>E37/E38</f>
        <v>0</v>
      </c>
      <c r="F39" s="17" t="s">
        <v>3</v>
      </c>
      <c r="G39" s="1"/>
    </row>
    <row r="40" spans="1:7" x14ac:dyDescent="0.25">
      <c r="A40" s="1"/>
      <c r="B40" s="102"/>
      <c r="C40" s="103"/>
      <c r="D40" s="103"/>
      <c r="E40" s="103"/>
      <c r="F40" s="104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I8H5iP9xNb7/+WsWQmimYh4A2znNciGi1mIX4Sr8HVUgCRvUd8tPGssDLQpD3889zqNiPQLsZKNqblHvYtg8Q==" saltValue="TfyPdkT6J6Dmh+tPI7sAXw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228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159</v>
      </c>
      <c r="C8" s="103"/>
      <c r="D8" s="103"/>
      <c r="E8" s="103"/>
      <c r="F8" s="103"/>
      <c r="G8" s="1"/>
    </row>
    <row r="9" spans="1:7" ht="29.25" customHeight="1" x14ac:dyDescent="0.25">
      <c r="A9" s="1"/>
      <c r="B9" s="93" t="s">
        <v>164</v>
      </c>
      <c r="C9" s="94"/>
      <c r="D9" s="95"/>
      <c r="E9" s="10">
        <f>IF((('Fane 3. Omkostninger i ØR2019'!E31+'Fane 3. Omkostninger i ØR2019'!E35)-('Fane 3. Omkostninger i ØR2019'!E31+'Fane 3. Omkostninger i ØR2019'!E35)/(1+'Fane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ØR2019'!E31+'Fane 3. Omkostninger i ØR2019'!E35)-('Fane 3. Omkostninger i ØR2019'!E31+'Fane 3. Omkostninger i ØR2019'!E35)/(1+'Fane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45" t="s">
        <v>175</v>
      </c>
      <c r="C10" s="46"/>
      <c r="D10" s="46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dcuQ8XQUul0plnst//r3MigPFgPdT63fQirRkqO/E6ksb3J9lDvyqYMFufsAVz9Mu86oD0TdCR6qQlnhU6uCiw==" saltValue="LuZNrnAtqfs48v3PCYdjv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229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2" t="s">
        <v>230</v>
      </c>
      <c r="C8" s="103"/>
      <c r="D8" s="103"/>
      <c r="E8" s="103"/>
      <c r="F8" s="103"/>
      <c r="G8" s="103"/>
      <c r="H8" s="104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ht="26.25" x14ac:dyDescent="0.25">
      <c r="A10" s="1"/>
      <c r="B10" s="119" t="s">
        <v>234</v>
      </c>
      <c r="C10" s="120">
        <v>75</v>
      </c>
      <c r="D10" s="9">
        <v>31398</v>
      </c>
      <c r="E10" s="9">
        <f>IFERROR(D10/C10,0)</f>
        <v>418.64</v>
      </c>
      <c r="F10" s="9">
        <v>0</v>
      </c>
      <c r="G10" s="9">
        <v>511.79</v>
      </c>
      <c r="H10" s="14" t="s">
        <v>3</v>
      </c>
      <c r="I10" s="1"/>
    </row>
    <row r="11" spans="1:9" x14ac:dyDescent="0.25">
      <c r="A11" s="1"/>
      <c r="B11" s="102" t="s">
        <v>231</v>
      </c>
      <c r="C11" s="103"/>
      <c r="D11" s="104"/>
      <c r="E11" s="12">
        <f>SUM(E10:E10)</f>
        <v>418.64</v>
      </c>
      <c r="F11" s="12">
        <f>SUM(F10:F10)</f>
        <v>0</v>
      </c>
      <c r="G11" s="12">
        <f>SUM(G10:G10)</f>
        <v>511.79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i2RmfiWV+Con05lEirT6LFp0ZnhVxskjrhB1tI3xvg8i35cLhKpLkNF+32S6KcyUaxHagmpjBoPCKhWaAXaOww==" saltValue="cPwG2WDSumPdajW7jInvX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206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137</v>
      </c>
      <c r="C8" s="46"/>
      <c r="D8" s="46"/>
      <c r="E8" s="46"/>
      <c r="F8" s="22"/>
      <c r="G8" s="1"/>
    </row>
    <row r="9" spans="1:7" ht="17.25" customHeight="1" x14ac:dyDescent="0.25">
      <c r="A9" s="1"/>
      <c r="B9" s="43" t="s">
        <v>24</v>
      </c>
      <c r="C9" s="43" t="s">
        <v>16</v>
      </c>
      <c r="D9" s="44"/>
      <c r="E9" s="43" t="s">
        <v>47</v>
      </c>
      <c r="F9" s="42"/>
      <c r="G9" s="1"/>
    </row>
    <row r="10" spans="1:7" x14ac:dyDescent="0.25">
      <c r="A10" s="1"/>
      <c r="B10" s="27" t="s">
        <v>235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930.43000000000006</v>
      </c>
      <c r="F10" s="14" t="s">
        <v>3</v>
      </c>
      <c r="G10" s="1"/>
    </row>
    <row r="11" spans="1:7" x14ac:dyDescent="0.25">
      <c r="A11" s="1"/>
      <c r="B11" s="121" t="s">
        <v>236</v>
      </c>
      <c r="C11" s="24">
        <v>70831</v>
      </c>
      <c r="D11" s="14" t="s">
        <v>3</v>
      </c>
      <c r="E11" s="9">
        <v>7777</v>
      </c>
      <c r="F11" s="14" t="s">
        <v>3</v>
      </c>
      <c r="G11" s="1"/>
    </row>
    <row r="12" spans="1:7" x14ac:dyDescent="0.25">
      <c r="A12" s="1"/>
      <c r="B12" s="45" t="s">
        <v>63</v>
      </c>
      <c r="C12" s="12">
        <f>SUM(C10:C11)</f>
        <v>70831</v>
      </c>
      <c r="D12" s="13" t="s">
        <v>3</v>
      </c>
      <c r="E12" s="12">
        <f>SUM(E10:E11)</f>
        <v>8707.43</v>
      </c>
      <c r="F12" s="13" t="s">
        <v>3</v>
      </c>
      <c r="G12" s="1"/>
    </row>
    <row r="13" spans="1:7" x14ac:dyDescent="0.25">
      <c r="A13" s="1"/>
      <c r="B13" s="45" t="s">
        <v>74</v>
      </c>
      <c r="C13" s="12">
        <f>C12*(1+'Fane 14. Nøgletal'!C12)</f>
        <v>72226.370699999999</v>
      </c>
      <c r="D13" s="13" t="s">
        <v>3</v>
      </c>
      <c r="E13" s="12">
        <f>E12*(1+'Fane 14. Nøgletal'!C12)</f>
        <v>8878.9663710000004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algorithmName="SHA-512" hashValue="x/mFEcL0T8MtXW2fL3/44mAZ62NgmtkMvVgNS5+uemwfl8ZFuSz6d21aj9RBAUoO5FOB1sqvoPN0NMJmRu2AlQ==" saltValue="N2VXhQTvy5Nd1QhJlQhMi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207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168</v>
      </c>
      <c r="C8" s="103"/>
      <c r="D8" s="103"/>
      <c r="E8" s="103"/>
      <c r="F8" s="104"/>
      <c r="G8" s="1"/>
    </row>
    <row r="9" spans="1:7" x14ac:dyDescent="0.25">
      <c r="A9" s="1"/>
      <c r="B9" s="43" t="s">
        <v>24</v>
      </c>
      <c r="C9" s="43" t="s">
        <v>16</v>
      </c>
      <c r="D9" s="44"/>
      <c r="E9" s="43" t="s">
        <v>47</v>
      </c>
      <c r="F9" s="42"/>
      <c r="G9" s="1"/>
    </row>
    <row r="10" spans="1:7" x14ac:dyDescent="0.25">
      <c r="A10" s="1"/>
      <c r="B10" s="27" t="s">
        <v>237</v>
      </c>
      <c r="C10" s="24">
        <v>597350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5" t="s">
        <v>172</v>
      </c>
      <c r="C11" s="12">
        <f>SUM(C10:C10)</f>
        <v>597350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-11947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-11947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5" t="s">
        <v>173</v>
      </c>
      <c r="C14" s="12">
        <f>SUM(C11:C13)*(1+'Fane 14. Nøgletal'!C12)^2</f>
        <v>596272.71893904009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02" t="s">
        <v>169</v>
      </c>
      <c r="C16" s="103"/>
      <c r="D16" s="103"/>
      <c r="E16" s="103"/>
      <c r="F16" s="104"/>
      <c r="G16" s="1"/>
    </row>
    <row r="17" spans="1:7" x14ac:dyDescent="0.25">
      <c r="A17" s="1"/>
      <c r="B17" s="43" t="s">
        <v>24</v>
      </c>
      <c r="C17" s="43" t="s">
        <v>16</v>
      </c>
      <c r="D17" s="44"/>
      <c r="E17" s="43" t="s">
        <v>47</v>
      </c>
      <c r="F17" s="42"/>
      <c r="G17" s="1"/>
    </row>
    <row r="18" spans="1:7" x14ac:dyDescent="0.25">
      <c r="A18" s="1"/>
      <c r="B18" s="27" t="s">
        <v>238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5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5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02" t="s">
        <v>170</v>
      </c>
      <c r="C24" s="103"/>
      <c r="D24" s="103"/>
      <c r="E24" s="103"/>
      <c r="F24" s="104"/>
      <c r="G24" s="1"/>
    </row>
    <row r="25" spans="1:7" x14ac:dyDescent="0.25">
      <c r="A25" s="1"/>
      <c r="B25" s="43" t="s">
        <v>24</v>
      </c>
      <c r="C25" s="43" t="s">
        <v>16</v>
      </c>
      <c r="D25" s="44"/>
      <c r="E25" s="43" t="s">
        <v>47</v>
      </c>
      <c r="F25" s="42"/>
      <c r="G25" s="1"/>
    </row>
    <row r="26" spans="1:7" x14ac:dyDescent="0.25">
      <c r="A26" s="1"/>
      <c r="B26" s="27" t="s">
        <v>238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5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5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2" t="s">
        <v>171</v>
      </c>
      <c r="C32" s="103"/>
      <c r="D32" s="103"/>
      <c r="E32" s="103"/>
      <c r="F32" s="104"/>
      <c r="G32" s="1"/>
    </row>
    <row r="33" spans="1:7" x14ac:dyDescent="0.25">
      <c r="A33" s="1"/>
      <c r="B33" s="43" t="s">
        <v>24</v>
      </c>
      <c r="C33" s="43" t="s">
        <v>16</v>
      </c>
      <c r="D33" s="44"/>
      <c r="E33" s="43" t="s">
        <v>47</v>
      </c>
      <c r="F33" s="42"/>
      <c r="G33" s="1"/>
    </row>
    <row r="34" spans="1:7" x14ac:dyDescent="0.25">
      <c r="A34" s="1"/>
      <c r="B34" s="27" t="s">
        <v>238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5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5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JjOXocTPyaxKi+DWxwF5pWeL+ulaVqC/wGnzvq4WIZHBbwoWITHFpTqzE8oXoQGnTgXwJ5SluagRXZzJinSpQ==" saltValue="6QLOMgHyFHfB64+8ddFfv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208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31</v>
      </c>
      <c r="C8" s="103"/>
      <c r="D8" s="103"/>
      <c r="E8" s="103"/>
      <c r="F8" s="104"/>
      <c r="G8" s="1"/>
    </row>
    <row r="9" spans="1:7" ht="15" customHeight="1" x14ac:dyDescent="0.25">
      <c r="A9" s="1"/>
      <c r="B9" s="41" t="s">
        <v>32</v>
      </c>
      <c r="C9" s="93" t="s">
        <v>16</v>
      </c>
      <c r="D9" s="95"/>
      <c r="E9" s="93" t="s">
        <v>47</v>
      </c>
      <c r="F9" s="95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TUq6bg993e1Tk4VUIUxxVV1RbIwHejtQnBW2ShbvJItrY3xegPrfAs6+/juFl2jYGh02Y+vobi6JABhkXDa64Q==" saltValue="OkBe7Q5xxTnlP7PGP/R6m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209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156</v>
      </c>
      <c r="C8" s="103"/>
      <c r="D8" s="103"/>
      <c r="E8" s="103"/>
      <c r="F8" s="104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5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5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02" t="s">
        <v>157</v>
      </c>
      <c r="C15" s="103"/>
      <c r="D15" s="103"/>
      <c r="E15" s="103"/>
      <c r="F15" s="104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5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5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02" t="s">
        <v>155</v>
      </c>
      <c r="C22" s="103"/>
      <c r="D22" s="103"/>
      <c r="E22" s="103"/>
      <c r="F22" s="104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5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5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02" t="s">
        <v>158</v>
      </c>
      <c r="C29" s="103"/>
      <c r="D29" s="103"/>
      <c r="E29" s="103"/>
      <c r="F29" s="104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5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5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fBEYgpwDO2HxyB5Cpl+my8QHw+MePyy5rN3dv9BVt0esNWmouJrY1AdD/Tt0crJ0qGq9wCSWr+5+7S7tpjk94w==" saltValue="kGoittoA+wW0nSAuY71G+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210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2" t="s">
        <v>18</v>
      </c>
      <c r="C8" s="103"/>
      <c r="D8" s="103"/>
      <c r="E8" s="103"/>
      <c r="F8" s="103"/>
      <c r="G8" s="103"/>
      <c r="H8" s="104"/>
      <c r="I8" s="1"/>
    </row>
    <row r="9" spans="1:9" x14ac:dyDescent="0.25">
      <c r="A9" s="1"/>
      <c r="B9" s="105" t="s">
        <v>12</v>
      </c>
      <c r="C9" s="106"/>
      <c r="D9" s="106"/>
      <c r="E9" s="106"/>
      <c r="F9" s="107"/>
      <c r="G9" s="9">
        <v>7258000</v>
      </c>
      <c r="H9" s="14" t="s">
        <v>3</v>
      </c>
      <c r="I9" s="1"/>
    </row>
    <row r="10" spans="1:9" x14ac:dyDescent="0.25">
      <c r="A10" s="1"/>
      <c r="B10" s="105" t="s">
        <v>135</v>
      </c>
      <c r="C10" s="106"/>
      <c r="D10" s="106"/>
      <c r="E10" s="106"/>
      <c r="F10" s="107"/>
      <c r="G10" s="9">
        <v>0</v>
      </c>
      <c r="H10" s="14" t="s">
        <v>3</v>
      </c>
      <c r="I10" s="1"/>
    </row>
    <row r="11" spans="1:9" x14ac:dyDescent="0.25">
      <c r="A11" s="1"/>
      <c r="B11" s="105" t="s">
        <v>80</v>
      </c>
      <c r="C11" s="106"/>
      <c r="D11" s="106"/>
      <c r="E11" s="106"/>
      <c r="F11" s="107"/>
      <c r="G11" s="9">
        <v>-7258000</v>
      </c>
      <c r="H11" s="14" t="s">
        <v>3</v>
      </c>
      <c r="I11" s="1"/>
    </row>
    <row r="12" spans="1:9" x14ac:dyDescent="0.25">
      <c r="A12" s="1"/>
      <c r="B12" s="116" t="s">
        <v>15</v>
      </c>
      <c r="C12" s="117"/>
      <c r="D12" s="117"/>
      <c r="E12" s="117"/>
      <c r="F12" s="118"/>
      <c r="G12" s="19">
        <f>(G9+G10)+G11</f>
        <v>0</v>
      </c>
      <c r="H12" s="18" t="s">
        <v>3</v>
      </c>
      <c r="I12" s="1"/>
    </row>
    <row r="13" spans="1:9" x14ac:dyDescent="0.25">
      <c r="A13" s="1"/>
      <c r="B13" s="105" t="s">
        <v>13</v>
      </c>
      <c r="C13" s="106"/>
      <c r="D13" s="106"/>
      <c r="E13" s="106"/>
      <c r="F13" s="107"/>
      <c r="G13" s="9">
        <v>0</v>
      </c>
      <c r="H13" s="14" t="s">
        <v>27</v>
      </c>
      <c r="I13" s="1"/>
    </row>
    <row r="14" spans="1:9" x14ac:dyDescent="0.25">
      <c r="A14" s="1"/>
      <c r="B14" s="102" t="s">
        <v>136</v>
      </c>
      <c r="C14" s="103"/>
      <c r="D14" s="103"/>
      <c r="E14" s="103"/>
      <c r="F14" s="104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F8EpHzV+ToG4djZ39VJy9t4lk0ztvkv8mbH1+caMD9aRkfEn2WkUDIH4Diq6snEEJxXNO5r6S2y7/PYDgwykQ==" saltValue="J+bc6UuF1IRIFuasEn/Rw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54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5" t="s">
        <v>21</v>
      </c>
      <c r="C8" s="22"/>
      <c r="D8" s="1"/>
    </row>
    <row r="9" spans="1:4" x14ac:dyDescent="0.25">
      <c r="A9" s="1"/>
      <c r="B9" s="50" t="s">
        <v>211</v>
      </c>
      <c r="C9" s="28">
        <v>1.2699999999999999E-2</v>
      </c>
      <c r="D9" s="1"/>
    </row>
    <row r="10" spans="1:4" x14ac:dyDescent="0.25">
      <c r="A10" s="1"/>
      <c r="B10" s="50" t="s">
        <v>30</v>
      </c>
      <c r="C10" s="28">
        <v>1.7500000000000002E-2</v>
      </c>
      <c r="D10" s="1"/>
    </row>
    <row r="11" spans="1:4" x14ac:dyDescent="0.25">
      <c r="A11" s="1"/>
      <c r="B11" s="50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102"/>
      <c r="C13" s="104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5" t="s">
        <v>181</v>
      </c>
      <c r="C16" s="22"/>
      <c r="D16" s="1"/>
    </row>
    <row r="17" spans="1:4" x14ac:dyDescent="0.25">
      <c r="A17" s="1"/>
      <c r="B17" s="50" t="s">
        <v>213</v>
      </c>
      <c r="C17" s="25">
        <v>9.1000000000000004E-3</v>
      </c>
      <c r="D17" s="1"/>
    </row>
    <row r="18" spans="1:4" x14ac:dyDescent="0.25">
      <c r="A18" s="1"/>
      <c r="B18" s="50" t="s">
        <v>214</v>
      </c>
      <c r="C18" s="25">
        <v>1.77E-2</v>
      </c>
      <c r="D18" s="1"/>
    </row>
    <row r="19" spans="1:4" x14ac:dyDescent="0.25">
      <c r="A19" s="1"/>
      <c r="B19" s="50" t="s">
        <v>215</v>
      </c>
      <c r="C19" s="25">
        <v>8.6999999999999994E-3</v>
      </c>
      <c r="D19" s="1"/>
    </row>
    <row r="20" spans="1:4" x14ac:dyDescent="0.25">
      <c r="A20" s="1"/>
      <c r="B20" s="50" t="s">
        <v>216</v>
      </c>
      <c r="C20" s="37">
        <v>2.8400000000000002E-2</v>
      </c>
      <c r="D20" s="1"/>
    </row>
    <row r="21" spans="1:4" x14ac:dyDescent="0.25">
      <c r="A21" s="1"/>
      <c r="B21" s="45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5" t="s">
        <v>182</v>
      </c>
      <c r="C24" s="22"/>
      <c r="D24" s="1"/>
    </row>
    <row r="25" spans="1:4" x14ac:dyDescent="0.25">
      <c r="A25" s="1"/>
      <c r="B25" s="50" t="s">
        <v>217</v>
      </c>
      <c r="C25" s="28">
        <v>0.02</v>
      </c>
      <c r="D25" s="1"/>
    </row>
    <row r="26" spans="1:4" x14ac:dyDescent="0.25">
      <c r="A26" s="1"/>
      <c r="B26" s="45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tlQacfrR/ENfpHVpVLvzRn6UPR9OLmdWvSX/6tEeauCaFOKzneyE0zIiVGBz64/nE7q28C5cTWhin9rCSiWuFQ==" saltValue="df3uudJHXQeeqed0AeNmG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65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20</v>
      </c>
      <c r="C8" s="46"/>
      <c r="D8" s="22"/>
      <c r="E8" s="1"/>
    </row>
    <row r="9" spans="1:5" x14ac:dyDescent="0.25">
      <c r="A9" s="1"/>
      <c r="B9" s="49" t="s">
        <v>34</v>
      </c>
      <c r="C9" s="7">
        <f>'Fane 3. Omkostninger i ØR2019'!E22</f>
        <v>27010141.256791476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tillæg'!C13</f>
        <v>72226.370699999999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tillæg'!E13</f>
        <v>8878.9663710000004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458069.16238007462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-550986.31512485107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-354313.08537749952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-97150.572111272064</v>
      </c>
      <c r="D19" s="8" t="s">
        <v>3</v>
      </c>
      <c r="E19" s="1"/>
    </row>
    <row r="20" spans="1:5" ht="17.100000000000001" customHeight="1" x14ac:dyDescent="0.25">
      <c r="A20" s="1"/>
      <c r="B20" s="47" t="s">
        <v>28</v>
      </c>
      <c r="C20" s="10">
        <f>SUM(C9:C19)</f>
        <v>26546865.783628929</v>
      </c>
      <c r="D20" s="11" t="s">
        <v>3</v>
      </c>
      <c r="E20" s="1"/>
    </row>
    <row r="21" spans="1:5" ht="15" customHeight="1" x14ac:dyDescent="0.25">
      <c r="A21" s="1"/>
      <c r="B21" s="45" t="s">
        <v>17</v>
      </c>
      <c r="C21" s="46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omk.'!C16</f>
        <v>30102654.404660311</v>
      </c>
      <c r="D22" s="11" t="s">
        <v>3</v>
      </c>
      <c r="E22" s="1"/>
    </row>
    <row r="23" spans="1:5" ht="15" customHeight="1" x14ac:dyDescent="0.25">
      <c r="A23" s="1"/>
      <c r="B23" s="45" t="s">
        <v>142</v>
      </c>
      <c r="C23" s="46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596272.71893904009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47" t="s">
        <v>143</v>
      </c>
      <c r="C26" s="10">
        <f>SUM(C24:C25)</f>
        <v>596272.71893904009</v>
      </c>
      <c r="D26" s="11" t="s">
        <v>3</v>
      </c>
      <c r="E26" s="1"/>
    </row>
    <row r="27" spans="1:5" x14ac:dyDescent="0.25">
      <c r="A27" s="1"/>
      <c r="B27" s="45" t="s">
        <v>11</v>
      </c>
      <c r="C27" s="46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45" t="s">
        <v>53</v>
      </c>
      <c r="C29" s="46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337964.43626781169</v>
      </c>
      <c r="D30" s="11" t="s">
        <v>3</v>
      </c>
      <c r="E30" s="1"/>
    </row>
    <row r="31" spans="1:5" x14ac:dyDescent="0.25">
      <c r="A31" s="1"/>
      <c r="B31" s="45" t="s">
        <v>225</v>
      </c>
      <c r="C31" s="46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45" t="s">
        <v>35</v>
      </c>
      <c r="C33" s="33">
        <f>SUM(C20,C22,C26,C28,C30,C32)</f>
        <v>57583757.343496092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l7IwKPFIuuXSOeB/PE5xNIWVbl9KAGA0ujU3BhAw5rrwv5W3xN+wlppZVjPgWRMZn0Ym0Ha3VMFQ2vDynnxA8w==" saltValue="CYgCyqOp06I9Tjta6Tk4l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85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29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20</v>
      </c>
      <c r="C8" s="46"/>
      <c r="D8" s="22"/>
      <c r="E8" s="1"/>
    </row>
    <row r="9" spans="1:5" ht="15" customHeight="1" x14ac:dyDescent="0.25">
      <c r="A9" s="1"/>
      <c r="B9" s="49" t="s">
        <v>36</v>
      </c>
      <c r="C9" s="7">
        <f>'Fane 2.1. Økonomisk ramme 2020'!C20</f>
        <v>26546865.783628929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9" t="s">
        <v>26</v>
      </c>
      <c r="C12" s="9">
        <f>SUM(C9:C11)*'Fane 14. Nøgletal'!C12</f>
        <v>522973.25593748986</v>
      </c>
      <c r="D12" s="8" t="s">
        <v>3</v>
      </c>
      <c r="E12" s="1"/>
    </row>
    <row r="13" spans="1:5" ht="15" customHeight="1" x14ac:dyDescent="0.25">
      <c r="A13" s="1"/>
      <c r="B13" s="39" t="s">
        <v>10</v>
      </c>
      <c r="C13" s="9">
        <f>-SUM(C9:C12)*'Fane 5. Individuelt eff. krav'!G10</f>
        <v>-541396.78079132841</v>
      </c>
      <c r="D13" s="8" t="s">
        <v>3</v>
      </c>
      <c r="E13" s="1"/>
    </row>
    <row r="14" spans="1:5" ht="15" customHeight="1" x14ac:dyDescent="0.25">
      <c r="A14" s="1"/>
      <c r="B14" s="39" t="s">
        <v>38</v>
      </c>
      <c r="C14" s="9">
        <f>-'Fane 4.1. Gen. krav - drift'!G32</f>
        <v>-354067.19209624763</v>
      </c>
      <c r="D14" s="8" t="s">
        <v>3</v>
      </c>
      <c r="E14" s="1"/>
    </row>
    <row r="15" spans="1:5" ht="15" customHeight="1" x14ac:dyDescent="0.25">
      <c r="A15" s="1"/>
      <c r="B15" s="39" t="s">
        <v>39</v>
      </c>
      <c r="C15" s="9">
        <f>-'Fane 4.2. Gen. krav - anlæg'!G31</f>
        <v>-319975.62678449193</v>
      </c>
      <c r="D15" s="8" t="s">
        <v>3</v>
      </c>
      <c r="E15" s="1"/>
    </row>
    <row r="16" spans="1:5" ht="15" customHeight="1" x14ac:dyDescent="0.25">
      <c r="A16" s="1"/>
      <c r="B16" s="40" t="s">
        <v>28</v>
      </c>
      <c r="C16" s="10">
        <f>SUM(C9:C15)</f>
        <v>25854399.439894352</v>
      </c>
      <c r="D16" s="11" t="s">
        <v>3</v>
      </c>
      <c r="E16" s="1"/>
    </row>
    <row r="17" spans="1:5" x14ac:dyDescent="0.25">
      <c r="A17" s="1"/>
      <c r="B17" s="45" t="s">
        <v>17</v>
      </c>
      <c r="C17" s="46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omk.'!C16*(1+'Fane 14. Nøgletal'!C12)</f>
        <v>30695676.696432121</v>
      </c>
      <c r="D18" s="11" t="s">
        <v>3</v>
      </c>
      <c r="E18" s="1"/>
    </row>
    <row r="19" spans="1:5" ht="15" customHeight="1" x14ac:dyDescent="0.25">
      <c r="A19" s="1"/>
      <c r="B19" s="45" t="s">
        <v>142</v>
      </c>
      <c r="C19" s="46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47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5" t="s">
        <v>160</v>
      </c>
      <c r="C23" s="46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45" t="s">
        <v>44</v>
      </c>
      <c r="C25" s="12">
        <f>SUM(C16,C18,C22,C24)</f>
        <v>56550076.136326477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4OZ7vpu0GOAETMfCM+28ORJiXNjJdRuQQqB+LcpvXQNeFcuz9fHgMNFcsAnvR0Z0KewGcSyIgxBMD4sLPK5RMQ==" saltValue="FWFtWWje7MVnYjXy/2KCK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193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29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20</v>
      </c>
      <c r="C7" s="46"/>
      <c r="D7" s="22"/>
      <c r="E7" s="1"/>
    </row>
    <row r="8" spans="1:5" ht="15" customHeight="1" x14ac:dyDescent="0.25">
      <c r="A8" s="1"/>
      <c r="B8" s="49" t="s">
        <v>36</v>
      </c>
      <c r="C8" s="7">
        <f>'Fane 2.2. Økonomisk ramme 2021'!C16</f>
        <v>25854399.439894352</v>
      </c>
      <c r="D8" s="8" t="s">
        <v>3</v>
      </c>
      <c r="E8" s="1"/>
    </row>
    <row r="9" spans="1:5" ht="15" customHeight="1" x14ac:dyDescent="0.25">
      <c r="A9" s="1"/>
      <c r="B9" s="49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9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9" t="s">
        <v>26</v>
      </c>
      <c r="C11" s="9">
        <f>SUM(C8:C10)*'Fane 14. Nøgletal'!C12</f>
        <v>509331.66896591871</v>
      </c>
      <c r="D11" s="8" t="s">
        <v>3</v>
      </c>
      <c r="E11" s="1"/>
    </row>
    <row r="12" spans="1:5" ht="15" customHeight="1" x14ac:dyDescent="0.25">
      <c r="A12" s="1"/>
      <c r="B12" s="39" t="s">
        <v>10</v>
      </c>
      <c r="C12" s="9">
        <f>-SUM(C8:C11)*'Fane 5. Individuelt eff. krav'!G10</f>
        <v>-527274.6221772054</v>
      </c>
      <c r="D12" s="8" t="s">
        <v>3</v>
      </c>
      <c r="E12" s="1"/>
    </row>
    <row r="13" spans="1:5" ht="15" customHeight="1" x14ac:dyDescent="0.25">
      <c r="A13" s="1"/>
      <c r="B13" s="39" t="s">
        <v>38</v>
      </c>
      <c r="C13" s="9">
        <f>-'Fane 4.1. Gen. krav - drift'!G38</f>
        <v>-353821.46946493286</v>
      </c>
      <c r="D13" s="8" t="s">
        <v>3</v>
      </c>
      <c r="E13" s="1"/>
    </row>
    <row r="14" spans="1:5" ht="15" customHeight="1" x14ac:dyDescent="0.25">
      <c r="A14" s="1"/>
      <c r="B14" s="39" t="s">
        <v>39</v>
      </c>
      <c r="C14" s="9">
        <f>-'Fane 4.2. Gen. krav - anlæg'!G37</f>
        <v>-317012.81886779348</v>
      </c>
      <c r="D14" s="8" t="s">
        <v>3</v>
      </c>
      <c r="E14" s="1"/>
    </row>
    <row r="15" spans="1:5" x14ac:dyDescent="0.25">
      <c r="A15" s="1"/>
      <c r="B15" s="40" t="s">
        <v>28</v>
      </c>
      <c r="C15" s="10">
        <f>SUM(C8:C14)</f>
        <v>25165622.198350336</v>
      </c>
      <c r="D15" s="11" t="s">
        <v>3</v>
      </c>
      <c r="E15" s="1"/>
    </row>
    <row r="16" spans="1:5" x14ac:dyDescent="0.25">
      <c r="A16" s="1"/>
      <c r="B16" s="45" t="s">
        <v>17</v>
      </c>
      <c r="C16" s="46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omk.'!C16*(1+'Fane 14. Nøgletal'!C12)^2</f>
        <v>31300381.527351834</v>
      </c>
      <c r="D17" s="11" t="s">
        <v>3</v>
      </c>
      <c r="E17" s="1"/>
    </row>
    <row r="18" spans="1:5" ht="15" customHeight="1" x14ac:dyDescent="0.25">
      <c r="A18" s="1"/>
      <c r="B18" s="45" t="s">
        <v>142</v>
      </c>
      <c r="C18" s="46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47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5" t="s">
        <v>160</v>
      </c>
      <c r="C22" s="46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45" t="s">
        <v>45</v>
      </c>
      <c r="C24" s="12">
        <f>SUM(C15,C17,C21,C23)</f>
        <v>56466003.725702167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+9GHLx6/VJ638M5nLCjQbDNBadpvN5pm3LpQBAWLnGnSapwz90z59pKpSRk7lWxiBN4zyeMnBXm3FMKVaAmMVg==" saltValue="sJ8vrXB/qH/j/5hyHDOlf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194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29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20</v>
      </c>
      <c r="C7" s="46"/>
      <c r="D7" s="22"/>
      <c r="E7" s="1"/>
    </row>
    <row r="8" spans="1:5" ht="15" customHeight="1" x14ac:dyDescent="0.25">
      <c r="A8" s="1"/>
      <c r="B8" s="49" t="s">
        <v>37</v>
      </c>
      <c r="C8" s="7">
        <f>'Fane 2.3. Økonomisk ramme 2022'!C15</f>
        <v>25165622.198350336</v>
      </c>
      <c r="D8" s="8" t="s">
        <v>3</v>
      </c>
      <c r="E8" s="1"/>
    </row>
    <row r="9" spans="1:5" ht="15" customHeight="1" x14ac:dyDescent="0.25">
      <c r="A9" s="1"/>
      <c r="B9" s="49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9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9" t="s">
        <v>26</v>
      </c>
      <c r="C11" s="9">
        <f>C8*'Fane 14. Nøgletal'!C12</f>
        <v>495762.75730750157</v>
      </c>
      <c r="D11" s="8" t="s">
        <v>3</v>
      </c>
      <c r="E11" s="1"/>
    </row>
    <row r="12" spans="1:5" ht="15" customHeight="1" x14ac:dyDescent="0.25">
      <c r="A12" s="1"/>
      <c r="B12" s="39" t="s">
        <v>10</v>
      </c>
      <c r="C12" s="9">
        <f>-SUM(C8:C11)*'Fane 5. Individuelt eff. krav'!G10</f>
        <v>-513227.69911315682</v>
      </c>
      <c r="D12" s="8" t="s">
        <v>3</v>
      </c>
      <c r="E12" s="1"/>
    </row>
    <row r="13" spans="1:5" ht="15" customHeight="1" x14ac:dyDescent="0.25">
      <c r="A13" s="1"/>
      <c r="B13" s="39" t="s">
        <v>38</v>
      </c>
      <c r="C13" s="9">
        <f>-'Fane 4.1. Gen. krav - drift'!G44</f>
        <v>-353575.91736512422</v>
      </c>
      <c r="D13" s="8" t="s">
        <v>3</v>
      </c>
      <c r="E13" s="1"/>
    </row>
    <row r="14" spans="1:5" ht="15" customHeight="1" x14ac:dyDescent="0.25">
      <c r="A14" s="1"/>
      <c r="B14" s="39" t="s">
        <v>39</v>
      </c>
      <c r="C14" s="9">
        <f>-'Fane 4.2. Gen. krav - anlæg'!G43</f>
        <v>-314077.44501174352</v>
      </c>
      <c r="D14" s="8" t="s">
        <v>3</v>
      </c>
      <c r="E14" s="1"/>
    </row>
    <row r="15" spans="1:5" x14ac:dyDescent="0.25">
      <c r="A15" s="1"/>
      <c r="B15" s="40" t="s">
        <v>28</v>
      </c>
      <c r="C15" s="10">
        <f>SUM(C8:C14)</f>
        <v>24480503.894167818</v>
      </c>
      <c r="D15" s="11" t="s">
        <v>3</v>
      </c>
      <c r="E15" s="1"/>
    </row>
    <row r="16" spans="1:5" x14ac:dyDescent="0.25">
      <c r="A16" s="1"/>
      <c r="B16" s="45" t="s">
        <v>17</v>
      </c>
      <c r="C16" s="46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omk.'!C16*(1+'Fane 14. Nøgletal'!C12)^3</f>
        <v>31916999.043440662</v>
      </c>
      <c r="D17" s="11" t="s">
        <v>3</v>
      </c>
      <c r="E17" s="1"/>
    </row>
    <row r="18" spans="1:5" ht="15" customHeight="1" x14ac:dyDescent="0.25">
      <c r="A18" s="1"/>
      <c r="B18" s="45" t="s">
        <v>142</v>
      </c>
      <c r="C18" s="46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47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5" t="s">
        <v>154</v>
      </c>
      <c r="C22" s="12">
        <f>SUM(C15,C17,C21)</f>
        <v>56397502.93760848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dXPxjkMJqLYbJNY6w0D/sRtMs/XwloYusRsOiCad+on6n0c3+0n5VpwGkLlFLtQliQSKYWWA3F3pCR4Ii3epjA==" saltValue="h2OQOP3tVAqzg+r+FkhKV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221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84</v>
      </c>
      <c r="C8" s="46"/>
      <c r="D8" s="46"/>
      <c r="E8" s="46"/>
      <c r="F8" s="22"/>
      <c r="G8" s="1"/>
    </row>
    <row r="9" spans="1:7" x14ac:dyDescent="0.25">
      <c r="A9" s="1"/>
      <c r="B9" s="84" t="s">
        <v>81</v>
      </c>
      <c r="C9" s="85"/>
      <c r="D9" s="86"/>
      <c r="E9" s="7">
        <v>26779668.542784866</v>
      </c>
      <c r="F9" s="8" t="s">
        <v>3</v>
      </c>
      <c r="G9" s="1"/>
    </row>
    <row r="10" spans="1:7" x14ac:dyDescent="0.25">
      <c r="A10" s="1"/>
      <c r="B10" s="84" t="s">
        <v>82</v>
      </c>
      <c r="C10" s="85"/>
      <c r="D10" s="86"/>
      <c r="E10" s="7">
        <v>0</v>
      </c>
      <c r="F10" s="8" t="s">
        <v>3</v>
      </c>
      <c r="G10" s="1"/>
    </row>
    <row r="11" spans="1:7" x14ac:dyDescent="0.25">
      <c r="A11" s="1"/>
      <c r="B11" s="84" t="s">
        <v>83</v>
      </c>
      <c r="C11" s="85"/>
      <c r="D11" s="86"/>
      <c r="E11" s="7">
        <v>127263.53081508008</v>
      </c>
      <c r="F11" s="8" t="s">
        <v>3</v>
      </c>
      <c r="G11" s="1"/>
    </row>
    <row r="12" spans="1:7" x14ac:dyDescent="0.25">
      <c r="A12" s="1"/>
      <c r="B12" s="75" t="s">
        <v>67</v>
      </c>
      <c r="C12" s="76"/>
      <c r="D12" s="77"/>
      <c r="E12" s="7">
        <v>0</v>
      </c>
      <c r="F12" s="8" t="s">
        <v>3</v>
      </c>
      <c r="G12" s="1"/>
    </row>
    <row r="13" spans="1:7" x14ac:dyDescent="0.25">
      <c r="A13" s="1"/>
      <c r="B13" s="75" t="s">
        <v>68</v>
      </c>
      <c r="C13" s="76"/>
      <c r="D13" s="77"/>
      <c r="E13" s="9">
        <v>648120.19810000004</v>
      </c>
      <c r="F13" s="8" t="s">
        <v>3</v>
      </c>
      <c r="G13" s="1"/>
    </row>
    <row r="14" spans="1:7" x14ac:dyDescent="0.25">
      <c r="A14" s="1"/>
      <c r="B14" s="75" t="s">
        <v>41</v>
      </c>
      <c r="C14" s="76"/>
      <c r="D14" s="77"/>
      <c r="E14" s="9">
        <v>0</v>
      </c>
      <c r="F14" s="8" t="s">
        <v>3</v>
      </c>
      <c r="G14" s="1"/>
    </row>
    <row r="15" spans="1:7" x14ac:dyDescent="0.25">
      <c r="A15" s="1"/>
      <c r="B15" s="75" t="s">
        <v>40</v>
      </c>
      <c r="C15" s="76"/>
      <c r="D15" s="77"/>
      <c r="E15" s="9">
        <v>0</v>
      </c>
      <c r="F15" s="8" t="s">
        <v>3</v>
      </c>
      <c r="G15" s="1"/>
    </row>
    <row r="16" spans="1:7" x14ac:dyDescent="0.25">
      <c r="A16" s="1"/>
      <c r="B16" s="75" t="s">
        <v>43</v>
      </c>
      <c r="C16" s="76"/>
      <c r="D16" s="77"/>
      <c r="E16" s="9">
        <v>0</v>
      </c>
      <c r="F16" s="8" t="s">
        <v>3</v>
      </c>
      <c r="G16" s="1"/>
    </row>
    <row r="17" spans="1:7" x14ac:dyDescent="0.25">
      <c r="A17" s="1"/>
      <c r="B17" s="75" t="s">
        <v>42</v>
      </c>
      <c r="C17" s="76"/>
      <c r="D17" s="77"/>
      <c r="E17" s="9">
        <v>0</v>
      </c>
      <c r="F17" s="8" t="s">
        <v>3</v>
      </c>
      <c r="G17" s="1"/>
    </row>
    <row r="18" spans="1:7" x14ac:dyDescent="0.25">
      <c r="A18" s="1"/>
      <c r="B18" s="75" t="s">
        <v>26</v>
      </c>
      <c r="C18" s="76"/>
      <c r="D18" s="77"/>
      <c r="E18" s="9">
        <f>SUM(E9:E17)*'Fane 14. Nøgletal'!C11</f>
        <v>465680.38339172903</v>
      </c>
      <c r="F18" s="8" t="s">
        <v>3</v>
      </c>
      <c r="G18" s="1"/>
    </row>
    <row r="19" spans="1:7" x14ac:dyDescent="0.25">
      <c r="A19" s="1"/>
      <c r="B19" s="75" t="s">
        <v>10</v>
      </c>
      <c r="C19" s="76"/>
      <c r="D19" s="77"/>
      <c r="E19" s="9">
        <f>-SUM(E9:E18)*'Fane 5. Individuelt eff. krav'!G10</f>
        <v>-560414.65310183354</v>
      </c>
      <c r="F19" s="8" t="s">
        <v>3</v>
      </c>
      <c r="G19" s="1"/>
    </row>
    <row r="20" spans="1:7" x14ac:dyDescent="0.25">
      <c r="A20" s="1"/>
      <c r="B20" s="75" t="s">
        <v>38</v>
      </c>
      <c r="C20" s="76"/>
      <c r="D20" s="77"/>
      <c r="E20" s="9">
        <f>-'Fane 4.1. Gen. krav - drift'!G20</f>
        <v>-354057.34994254628</v>
      </c>
      <c r="F20" s="8" t="s">
        <v>3</v>
      </c>
      <c r="G20" s="1"/>
    </row>
    <row r="21" spans="1:7" x14ac:dyDescent="0.25">
      <c r="A21" s="1"/>
      <c r="B21" s="75" t="s">
        <v>39</v>
      </c>
      <c r="C21" s="76"/>
      <c r="D21" s="77"/>
      <c r="E21" s="9">
        <f>-'Fane 4.2. Gen. krav - anlæg'!G19</f>
        <v>-96119.395255817188</v>
      </c>
      <c r="F21" s="8" t="s">
        <v>3</v>
      </c>
      <c r="G21" s="1"/>
    </row>
    <row r="22" spans="1:7" x14ac:dyDescent="0.25">
      <c r="A22" s="1"/>
      <c r="B22" s="90" t="s">
        <v>28</v>
      </c>
      <c r="C22" s="91"/>
      <c r="D22" s="92"/>
      <c r="E22" s="10">
        <f>SUM(E9:E21)</f>
        <v>27010141.256791476</v>
      </c>
      <c r="F22" s="11" t="s">
        <v>3</v>
      </c>
      <c r="G22" s="1"/>
    </row>
    <row r="23" spans="1:7" x14ac:dyDescent="0.25">
      <c r="A23" s="1"/>
      <c r="B23" s="78" t="s">
        <v>17</v>
      </c>
      <c r="C23" s="79"/>
      <c r="D23" s="79"/>
      <c r="E23" s="46"/>
      <c r="F23" s="22"/>
      <c r="G23" s="1"/>
    </row>
    <row r="24" spans="1:7" x14ac:dyDescent="0.25">
      <c r="A24" s="1"/>
      <c r="B24" s="80" t="s">
        <v>17</v>
      </c>
      <c r="C24" s="81"/>
      <c r="D24" s="82"/>
      <c r="E24" s="10">
        <v>28751826.947600264</v>
      </c>
      <c r="F24" s="11" t="s">
        <v>3</v>
      </c>
      <c r="G24" s="1"/>
    </row>
    <row r="25" spans="1:7" x14ac:dyDescent="0.25">
      <c r="A25" s="1"/>
      <c r="B25" s="78" t="s">
        <v>142</v>
      </c>
      <c r="C25" s="79"/>
      <c r="D25" s="79"/>
      <c r="E25" s="46"/>
      <c r="F25" s="22"/>
      <c r="G25" s="1"/>
    </row>
    <row r="26" spans="1:7" x14ac:dyDescent="0.25">
      <c r="A26" s="1"/>
      <c r="B26" s="96" t="s">
        <v>138</v>
      </c>
      <c r="C26" s="97"/>
      <c r="D26" s="98"/>
      <c r="E26" s="9">
        <v>0</v>
      </c>
      <c r="F26" s="38" t="s">
        <v>3</v>
      </c>
      <c r="G26" s="1"/>
    </row>
    <row r="27" spans="1:7" x14ac:dyDescent="0.25">
      <c r="A27" s="1"/>
      <c r="B27" s="96" t="s">
        <v>139</v>
      </c>
      <c r="C27" s="97"/>
      <c r="D27" s="98"/>
      <c r="E27" s="9">
        <v>624564.95855657989</v>
      </c>
      <c r="F27" s="38" t="s">
        <v>3</v>
      </c>
      <c r="G27" s="1"/>
    </row>
    <row r="28" spans="1:7" x14ac:dyDescent="0.25">
      <c r="A28" s="1"/>
      <c r="B28" s="96" t="s">
        <v>239</v>
      </c>
      <c r="C28" s="97"/>
      <c r="D28" s="98"/>
      <c r="E28" s="9">
        <f>-(E27*'Fane 14. Nøgletal'!C19+E27*'Fane 5. Individuelt eff. krav'!G10)</f>
        <v>-17925.014310573843</v>
      </c>
      <c r="F28" s="38" t="s">
        <v>3</v>
      </c>
      <c r="G28" s="1"/>
    </row>
    <row r="29" spans="1:7" x14ac:dyDescent="0.25">
      <c r="A29" s="1"/>
      <c r="B29" s="99" t="s">
        <v>143</v>
      </c>
      <c r="C29" s="100"/>
      <c r="D29" s="101"/>
      <c r="E29" s="10">
        <f>SUM(E26:E28)</f>
        <v>606639.94424600608</v>
      </c>
      <c r="F29" s="11" t="s">
        <v>3</v>
      </c>
      <c r="G29" s="1"/>
    </row>
    <row r="30" spans="1:7" x14ac:dyDescent="0.25">
      <c r="A30" s="1"/>
      <c r="B30" s="45" t="s">
        <v>130</v>
      </c>
      <c r="C30" s="46"/>
      <c r="D30" s="46"/>
      <c r="E30" s="46"/>
      <c r="F30" s="22"/>
      <c r="G30" s="1"/>
    </row>
    <row r="31" spans="1:7" ht="27" customHeight="1" x14ac:dyDescent="0.25">
      <c r="A31" s="1"/>
      <c r="B31" s="93" t="s">
        <v>132</v>
      </c>
      <c r="C31" s="94"/>
      <c r="D31" s="95"/>
      <c r="E31" s="10">
        <v>132271.9225991907</v>
      </c>
      <c r="F31" s="11" t="s">
        <v>3</v>
      </c>
      <c r="G31" s="1"/>
    </row>
    <row r="32" spans="1:7" x14ac:dyDescent="0.25">
      <c r="A32" s="1"/>
      <c r="B32" s="45" t="s">
        <v>11</v>
      </c>
      <c r="C32" s="46"/>
      <c r="D32" s="46"/>
      <c r="E32" s="46"/>
      <c r="F32" s="22"/>
      <c r="G32" s="1"/>
    </row>
    <row r="33" spans="1:7" x14ac:dyDescent="0.25">
      <c r="A33" s="1"/>
      <c r="B33" s="80" t="s">
        <v>19</v>
      </c>
      <c r="C33" s="81"/>
      <c r="D33" s="82"/>
      <c r="E33" s="10">
        <v>0</v>
      </c>
      <c r="F33" s="11" t="s">
        <v>3</v>
      </c>
      <c r="G33" s="1"/>
    </row>
    <row r="34" spans="1:7" x14ac:dyDescent="0.25">
      <c r="A34" s="1"/>
      <c r="B34" s="45" t="s">
        <v>160</v>
      </c>
      <c r="C34" s="46"/>
      <c r="D34" s="46"/>
      <c r="E34" s="46"/>
      <c r="F34" s="22"/>
      <c r="G34" s="1"/>
    </row>
    <row r="35" spans="1:7" x14ac:dyDescent="0.25">
      <c r="A35" s="1"/>
      <c r="B35" s="80" t="s">
        <v>131</v>
      </c>
      <c r="C35" s="81"/>
      <c r="D35" s="82"/>
      <c r="E35" s="10">
        <v>362311.95132894767</v>
      </c>
      <c r="F35" s="11" t="s">
        <v>3</v>
      </c>
      <c r="G35" s="1"/>
    </row>
    <row r="36" spans="1:7" x14ac:dyDescent="0.25">
      <c r="A36" s="1"/>
      <c r="B36" s="45" t="s">
        <v>23</v>
      </c>
      <c r="C36" s="46"/>
      <c r="D36" s="46"/>
      <c r="E36" s="12">
        <f>SUM(E33,E31,E29,E24,E22,E35)</f>
        <v>56863192.022565886</v>
      </c>
      <c r="F36" s="13" t="s">
        <v>3</v>
      </c>
      <c r="G36" s="1"/>
    </row>
    <row r="37" spans="1:7" ht="28.15" customHeight="1" x14ac:dyDescent="0.25">
      <c r="A37" s="1"/>
      <c r="B37" s="87" t="s">
        <v>189</v>
      </c>
      <c r="C37" s="88"/>
      <c r="D37" s="88"/>
      <c r="E37" s="88"/>
      <c r="F37" s="89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G19QYpMIgyBYUf8/yhyPwSeBPGAXfejEtEZICr0OJ9LBPHX82xR/zkUzjkqI23Q50Q10H0oBbfXh4Ivzn2v2PA==" saltValue="7rXHPDnVMEgU/7EPHvBJ0A==" spinCount="100000" sheet="1" objects="1" scenarios="1"/>
  <mergeCells count="26">
    <mergeCell ref="B37:F37"/>
    <mergeCell ref="B18:D18"/>
    <mergeCell ref="B19:D19"/>
    <mergeCell ref="B20:D20"/>
    <mergeCell ref="B21:D21"/>
    <mergeCell ref="B22:D22"/>
    <mergeCell ref="B35:D35"/>
    <mergeCell ref="B31:D31"/>
    <mergeCell ref="B33:D33"/>
    <mergeCell ref="B25:D25"/>
    <mergeCell ref="B26:D26"/>
    <mergeCell ref="B27:D27"/>
    <mergeCell ref="B28:D28"/>
    <mergeCell ref="B29:D29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3" t="s">
        <v>202</v>
      </c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02" t="s">
        <v>97</v>
      </c>
      <c r="C5" s="103"/>
      <c r="D5" s="103"/>
      <c r="E5" s="103"/>
      <c r="F5" s="103"/>
      <c r="G5" s="103"/>
      <c r="H5" s="104"/>
      <c r="I5" s="1"/>
    </row>
    <row r="6" spans="1:9" x14ac:dyDescent="0.25">
      <c r="A6" s="1"/>
      <c r="B6" s="105" t="s">
        <v>86</v>
      </c>
      <c r="C6" s="106"/>
      <c r="D6" s="106"/>
      <c r="E6" s="106"/>
      <c r="F6" s="107"/>
      <c r="G6" s="26">
        <v>17899150.102455098</v>
      </c>
      <c r="H6" s="14" t="s">
        <v>3</v>
      </c>
      <c r="I6" s="1"/>
    </row>
    <row r="7" spans="1:9" x14ac:dyDescent="0.25">
      <c r="A7" s="1"/>
      <c r="B7" s="105" t="s">
        <v>87</v>
      </c>
      <c r="C7" s="106"/>
      <c r="D7" s="106"/>
      <c r="E7" s="106"/>
      <c r="F7" s="107"/>
      <c r="G7" s="26">
        <f>G6*'Fane 14. Nøgletal'!C25</f>
        <v>357983.00204910198</v>
      </c>
      <c r="H7" s="14" t="s">
        <v>3</v>
      </c>
      <c r="I7" s="1"/>
    </row>
    <row r="8" spans="1:9" x14ac:dyDescent="0.25">
      <c r="A8" s="1"/>
      <c r="B8" s="45"/>
      <c r="C8" s="46"/>
      <c r="D8" s="46"/>
      <c r="E8" s="46"/>
      <c r="F8" s="46"/>
      <c r="G8" s="46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2" t="s">
        <v>98</v>
      </c>
      <c r="C10" s="103"/>
      <c r="D10" s="103"/>
      <c r="E10" s="103"/>
      <c r="F10" s="103"/>
      <c r="G10" s="103"/>
      <c r="H10" s="104"/>
      <c r="I10" s="1"/>
    </row>
    <row r="11" spans="1:9" x14ac:dyDescent="0.25">
      <c r="A11" s="1"/>
      <c r="B11" s="105" t="s">
        <v>88</v>
      </c>
      <c r="C11" s="106"/>
      <c r="D11" s="106"/>
      <c r="E11" s="106"/>
      <c r="F11" s="107"/>
      <c r="G11" s="26">
        <f>(G6-G7)*(1+'Fane 14. Nøgletal'!C9)</f>
        <v>17763939.922581151</v>
      </c>
      <c r="H11" s="14" t="s">
        <v>3</v>
      </c>
      <c r="I11" s="1"/>
    </row>
    <row r="12" spans="1:9" x14ac:dyDescent="0.25">
      <c r="A12" s="1"/>
      <c r="B12" s="108" t="s">
        <v>89</v>
      </c>
      <c r="C12" s="109"/>
      <c r="D12" s="109"/>
      <c r="E12" s="109"/>
      <c r="F12" s="110"/>
      <c r="G12" s="26">
        <v>0</v>
      </c>
      <c r="H12" s="14" t="s">
        <v>3</v>
      </c>
      <c r="I12" s="1"/>
    </row>
    <row r="13" spans="1:9" x14ac:dyDescent="0.25">
      <c r="A13" s="1"/>
      <c r="B13" s="105" t="s">
        <v>90</v>
      </c>
      <c r="C13" s="106"/>
      <c r="D13" s="106"/>
      <c r="E13" s="106"/>
      <c r="F13" s="107"/>
      <c r="G13" s="26">
        <f>(G11+G12)*'Fane 14. Nøgletal'!C25</f>
        <v>355278.79845162301</v>
      </c>
      <c r="H13" s="14" t="s">
        <v>3</v>
      </c>
      <c r="I13" s="1"/>
    </row>
    <row r="14" spans="1:9" x14ac:dyDescent="0.25">
      <c r="A14" s="1"/>
      <c r="B14" s="45"/>
      <c r="C14" s="46"/>
      <c r="D14" s="46"/>
      <c r="E14" s="46"/>
      <c r="F14" s="46"/>
      <c r="G14" s="46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02" t="s">
        <v>99</v>
      </c>
      <c r="C16" s="103"/>
      <c r="D16" s="103"/>
      <c r="E16" s="103"/>
      <c r="F16" s="103"/>
      <c r="G16" s="103"/>
      <c r="H16" s="104"/>
      <c r="I16" s="1"/>
    </row>
    <row r="17" spans="1:9" x14ac:dyDescent="0.25">
      <c r="A17" s="1"/>
      <c r="B17" s="105" t="s">
        <v>91</v>
      </c>
      <c r="C17" s="106"/>
      <c r="D17" s="106"/>
      <c r="E17" s="106"/>
      <c r="F17" s="107"/>
      <c r="G17" s="26">
        <f>(G13/'Fane 14. Nøgletal'!C25-G13)*(1+'Fane 14. Nøgletal'!C11)</f>
        <v>17702867.497127313</v>
      </c>
      <c r="H17" s="14" t="s">
        <v>3</v>
      </c>
      <c r="I17" s="1"/>
    </row>
    <row r="18" spans="1:9" x14ac:dyDescent="0.25">
      <c r="A18" s="1"/>
      <c r="B18" s="105" t="s">
        <v>222</v>
      </c>
      <c r="C18" s="106"/>
      <c r="D18" s="106"/>
      <c r="E18" s="106"/>
      <c r="F18" s="107"/>
      <c r="G18" s="26">
        <v>0</v>
      </c>
      <c r="H18" s="14" t="s">
        <v>3</v>
      </c>
      <c r="I18" s="1"/>
    </row>
    <row r="19" spans="1:9" x14ac:dyDescent="0.25">
      <c r="A19" s="1"/>
      <c r="B19" s="108" t="s">
        <v>92</v>
      </c>
      <c r="C19" s="109"/>
      <c r="D19" s="109"/>
      <c r="E19" s="109"/>
      <c r="F19" s="110"/>
      <c r="G19" s="26">
        <v>0</v>
      </c>
      <c r="H19" s="14" t="s">
        <v>3</v>
      </c>
      <c r="I19" s="1"/>
    </row>
    <row r="20" spans="1:9" x14ac:dyDescent="0.25">
      <c r="A20" s="1"/>
      <c r="B20" s="105" t="s">
        <v>93</v>
      </c>
      <c r="C20" s="106"/>
      <c r="D20" s="106"/>
      <c r="E20" s="106"/>
      <c r="F20" s="107"/>
      <c r="G20" s="26">
        <f>SUM(G17:G19)*'Fane 14. Nøgletal'!C25</f>
        <v>354057.34994254628</v>
      </c>
      <c r="H20" s="14" t="s">
        <v>3</v>
      </c>
      <c r="I20" s="1"/>
    </row>
    <row r="21" spans="1:9" x14ac:dyDescent="0.25">
      <c r="A21" s="1"/>
      <c r="B21" s="45"/>
      <c r="C21" s="46"/>
      <c r="D21" s="46"/>
      <c r="E21" s="46"/>
      <c r="F21" s="46"/>
      <c r="G21" s="46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02" t="s">
        <v>100</v>
      </c>
      <c r="C23" s="103"/>
      <c r="D23" s="103"/>
      <c r="E23" s="103"/>
      <c r="F23" s="103"/>
      <c r="G23" s="103"/>
      <c r="H23" s="104"/>
      <c r="I23" s="1"/>
    </row>
    <row r="24" spans="1:9" x14ac:dyDescent="0.25">
      <c r="A24" s="1"/>
      <c r="B24" s="105" t="s">
        <v>94</v>
      </c>
      <c r="C24" s="106"/>
      <c r="D24" s="106"/>
      <c r="E24" s="106"/>
      <c r="F24" s="107"/>
      <c r="G24" s="26">
        <f>(SUM(G17:G19)-G20)*(1+'Fane 14. Nøgletal'!C11)</f>
        <v>17642005.038672186</v>
      </c>
      <c r="H24" s="14" t="s">
        <v>3</v>
      </c>
      <c r="I24" s="1"/>
    </row>
    <row r="25" spans="1:9" x14ac:dyDescent="0.25">
      <c r="A25" s="1"/>
      <c r="B25" s="108" t="s">
        <v>95</v>
      </c>
      <c r="C25" s="109"/>
      <c r="D25" s="109"/>
      <c r="E25" s="109"/>
      <c r="F25" s="110"/>
      <c r="G25" s="26">
        <f>('Fane 2.1. Økonomisk ramme 2020'!C10+'Fane 2.1. Økonomisk ramme 2020'!C12+'Fane 2.1. Økonomisk ramme 2020'!C14)*(1+'Fane 14. Nøgletal'!C12)</f>
        <v>73649.23020279</v>
      </c>
      <c r="H25" s="14" t="s">
        <v>3</v>
      </c>
      <c r="I25" s="1"/>
    </row>
    <row r="26" spans="1:9" x14ac:dyDescent="0.25">
      <c r="A26" s="1"/>
      <c r="B26" s="105" t="s">
        <v>96</v>
      </c>
      <c r="C26" s="106"/>
      <c r="D26" s="106"/>
      <c r="E26" s="106"/>
      <c r="F26" s="107"/>
      <c r="G26" s="26">
        <f>(G24+G25)*'Fane 14. Nøgletal'!C25</f>
        <v>354313.08537749952</v>
      </c>
      <c r="H26" s="14" t="s">
        <v>3</v>
      </c>
      <c r="I26" s="1"/>
    </row>
    <row r="27" spans="1:9" x14ac:dyDescent="0.25">
      <c r="A27" s="1"/>
      <c r="B27" s="45"/>
      <c r="C27" s="46"/>
      <c r="D27" s="46"/>
      <c r="E27" s="46"/>
      <c r="F27" s="46"/>
      <c r="G27" s="46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02" t="s">
        <v>191</v>
      </c>
      <c r="C29" s="103"/>
      <c r="D29" s="103"/>
      <c r="E29" s="103"/>
      <c r="F29" s="103"/>
      <c r="G29" s="103"/>
      <c r="H29" s="104"/>
      <c r="I29" s="1"/>
    </row>
    <row r="30" spans="1:9" x14ac:dyDescent="0.25">
      <c r="A30" s="1"/>
      <c r="B30" s="105" t="s">
        <v>103</v>
      </c>
      <c r="C30" s="106"/>
      <c r="D30" s="106"/>
      <c r="E30" s="106"/>
      <c r="F30" s="107"/>
      <c r="G30" s="26">
        <f>(G24+G25-G26)*(1+'Fane 14. Nøgletal'!C12)</f>
        <v>17703359.60481238</v>
      </c>
      <c r="H30" s="14" t="s">
        <v>3</v>
      </c>
      <c r="I30" s="1"/>
    </row>
    <row r="31" spans="1:9" x14ac:dyDescent="0.25">
      <c r="A31" s="1"/>
      <c r="B31" s="105" t="s">
        <v>145</v>
      </c>
      <c r="C31" s="106"/>
      <c r="D31" s="106"/>
      <c r="E31" s="106"/>
      <c r="F31" s="107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105" t="s">
        <v>220</v>
      </c>
      <c r="C32" s="106"/>
      <c r="D32" s="106"/>
      <c r="E32" s="106"/>
      <c r="F32" s="107"/>
      <c r="G32" s="26">
        <f>(G30+G31)*'Fane 14. Nøgletal'!C25</f>
        <v>354067.19209624763</v>
      </c>
      <c r="H32" s="14" t="s">
        <v>3</v>
      </c>
      <c r="I32" s="1"/>
    </row>
    <row r="33" spans="1:9" x14ac:dyDescent="0.25">
      <c r="A33" s="1"/>
      <c r="B33" s="45"/>
      <c r="C33" s="46"/>
      <c r="D33" s="46"/>
      <c r="E33" s="46"/>
      <c r="F33" s="46"/>
      <c r="G33" s="46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02" t="s">
        <v>126</v>
      </c>
      <c r="C35" s="103"/>
      <c r="D35" s="103"/>
      <c r="E35" s="103"/>
      <c r="F35" s="103"/>
      <c r="G35" s="103"/>
      <c r="H35" s="104"/>
      <c r="I35" s="1"/>
    </row>
    <row r="36" spans="1:9" x14ac:dyDescent="0.25">
      <c r="A36" s="1"/>
      <c r="B36" s="105" t="s">
        <v>125</v>
      </c>
      <c r="C36" s="106"/>
      <c r="D36" s="106"/>
      <c r="E36" s="106"/>
      <c r="F36" s="107"/>
      <c r="G36" s="26">
        <f>(G30-G32)*(1+'Fane 14. Nøgletal'!C12)</f>
        <v>17691073.473246641</v>
      </c>
      <c r="H36" s="14" t="s">
        <v>3</v>
      </c>
      <c r="I36" s="1"/>
    </row>
    <row r="37" spans="1:9" x14ac:dyDescent="0.25">
      <c r="A37" s="1"/>
      <c r="B37" s="105" t="s">
        <v>146</v>
      </c>
      <c r="C37" s="106"/>
      <c r="D37" s="106"/>
      <c r="E37" s="106"/>
      <c r="F37" s="107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105" t="s">
        <v>104</v>
      </c>
      <c r="C38" s="106"/>
      <c r="D38" s="106"/>
      <c r="E38" s="106"/>
      <c r="F38" s="107"/>
      <c r="G38" s="26">
        <f>(G36+G37)*'Fane 14. Nøgletal'!C25</f>
        <v>353821.46946493286</v>
      </c>
      <c r="H38" s="14" t="s">
        <v>3</v>
      </c>
      <c r="I38" s="1"/>
    </row>
    <row r="39" spans="1:9" x14ac:dyDescent="0.25">
      <c r="A39" s="1"/>
      <c r="B39" s="45"/>
      <c r="C39" s="46"/>
      <c r="D39" s="46"/>
      <c r="E39" s="46"/>
      <c r="F39" s="46"/>
      <c r="G39" s="46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02" t="s">
        <v>127</v>
      </c>
      <c r="C41" s="103"/>
      <c r="D41" s="103"/>
      <c r="E41" s="103"/>
      <c r="F41" s="103"/>
      <c r="G41" s="103"/>
      <c r="H41" s="104"/>
      <c r="I41" s="1"/>
    </row>
    <row r="42" spans="1:9" x14ac:dyDescent="0.25">
      <c r="A42" s="1"/>
      <c r="B42" s="105" t="s">
        <v>124</v>
      </c>
      <c r="C42" s="106"/>
      <c r="D42" s="106"/>
      <c r="E42" s="106"/>
      <c r="F42" s="107"/>
      <c r="G42" s="26">
        <f>(G36-G38)*(1+'Fane 14. Nøgletal'!C12)</f>
        <v>17678795.868256211</v>
      </c>
      <c r="H42" s="14" t="s">
        <v>3</v>
      </c>
      <c r="I42" s="1"/>
    </row>
    <row r="43" spans="1:9" x14ac:dyDescent="0.25">
      <c r="A43" s="1"/>
      <c r="B43" s="105" t="s">
        <v>147</v>
      </c>
      <c r="C43" s="106"/>
      <c r="D43" s="106"/>
      <c r="E43" s="106"/>
      <c r="F43" s="107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105" t="s">
        <v>105</v>
      </c>
      <c r="C44" s="106"/>
      <c r="D44" s="106"/>
      <c r="E44" s="106"/>
      <c r="F44" s="107"/>
      <c r="G44" s="26">
        <f>(G42+G43)*'Fane 14. Nøgletal'!C25</f>
        <v>353575.91736512422</v>
      </c>
      <c r="H44" s="14" t="s">
        <v>3</v>
      </c>
      <c r="I44" s="1"/>
    </row>
    <row r="45" spans="1:9" x14ac:dyDescent="0.25">
      <c r="A45" s="1"/>
      <c r="B45" s="45"/>
      <c r="C45" s="46"/>
      <c r="D45" s="46"/>
      <c r="E45" s="46"/>
      <c r="F45" s="46"/>
      <c r="G45" s="46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Oz6/8IYm4NlQgcCYH+sdip0FO9ZuZEmIU/4W2yU2pwNbvI2DM7guUDNzomSIe0aLF1Aox8GQzdZcggzESaqFQ==" saltValue="6jBgPlZrg1BgPylUF6+khg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11" t="s">
        <v>203</v>
      </c>
      <c r="C2" s="111"/>
      <c r="D2" s="111"/>
      <c r="E2" s="111"/>
      <c r="F2" s="111"/>
      <c r="G2" s="111"/>
      <c r="H2" s="111"/>
      <c r="I2" s="1"/>
    </row>
    <row r="3" spans="1:9" ht="18.75" x14ac:dyDescent="0.3">
      <c r="A3" s="1"/>
      <c r="B3" s="51"/>
      <c r="C3" s="51"/>
      <c r="D3" s="51"/>
      <c r="E3" s="51"/>
      <c r="F3" s="51"/>
      <c r="G3" s="51"/>
      <c r="H3" s="51"/>
      <c r="I3" s="1"/>
    </row>
    <row r="4" spans="1:9" x14ac:dyDescent="0.25">
      <c r="A4" s="1"/>
      <c r="B4" s="102" t="s">
        <v>101</v>
      </c>
      <c r="C4" s="103"/>
      <c r="D4" s="103"/>
      <c r="E4" s="103"/>
      <c r="F4" s="103"/>
      <c r="G4" s="103"/>
      <c r="H4" s="104"/>
      <c r="I4" s="1"/>
    </row>
    <row r="5" spans="1:9" x14ac:dyDescent="0.25">
      <c r="A5" s="1"/>
      <c r="B5" s="105" t="s">
        <v>106</v>
      </c>
      <c r="C5" s="106"/>
      <c r="D5" s="106"/>
      <c r="E5" s="106"/>
      <c r="F5" s="107"/>
      <c r="G5" s="26">
        <v>10146511.14422214</v>
      </c>
      <c r="H5" s="14" t="s">
        <v>3</v>
      </c>
      <c r="I5" s="1"/>
    </row>
    <row r="6" spans="1:9" x14ac:dyDescent="0.25">
      <c r="A6" s="1"/>
      <c r="B6" s="105" t="s">
        <v>102</v>
      </c>
      <c r="C6" s="106"/>
      <c r="D6" s="106"/>
      <c r="E6" s="106"/>
      <c r="F6" s="107"/>
      <c r="G6" s="26">
        <f>G5*'Fane 14. Nøgletal'!C17</f>
        <v>92333.251412421479</v>
      </c>
      <c r="H6" s="14" t="s">
        <v>3</v>
      </c>
      <c r="I6" s="1"/>
    </row>
    <row r="7" spans="1:9" x14ac:dyDescent="0.25">
      <c r="A7" s="1"/>
      <c r="B7" s="45"/>
      <c r="C7" s="46"/>
      <c r="D7" s="46"/>
      <c r="E7" s="46"/>
      <c r="F7" s="46"/>
      <c r="G7" s="46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02" t="s">
        <v>107</v>
      </c>
      <c r="C9" s="103"/>
      <c r="D9" s="103"/>
      <c r="E9" s="103"/>
      <c r="F9" s="103"/>
      <c r="G9" s="103"/>
      <c r="H9" s="104"/>
      <c r="I9" s="1"/>
    </row>
    <row r="10" spans="1:9" x14ac:dyDescent="0.25">
      <c r="A10" s="1"/>
      <c r="B10" s="105" t="s">
        <v>108</v>
      </c>
      <c r="C10" s="106"/>
      <c r="D10" s="106"/>
      <c r="E10" s="106"/>
      <c r="F10" s="107"/>
      <c r="G10" s="26">
        <f>(G5-G6)*(1+'Fane 14. Nøgletal'!C9)</f>
        <v>10181865.952048402</v>
      </c>
      <c r="H10" s="14" t="s">
        <v>3</v>
      </c>
      <c r="I10" s="1"/>
    </row>
    <row r="11" spans="1:9" x14ac:dyDescent="0.25">
      <c r="A11" s="1"/>
      <c r="B11" s="108" t="s">
        <v>109</v>
      </c>
      <c r="C11" s="109"/>
      <c r="D11" s="109"/>
      <c r="E11" s="109"/>
      <c r="F11" s="110"/>
      <c r="G11" s="26">
        <v>0</v>
      </c>
      <c r="H11" s="14" t="s">
        <v>3</v>
      </c>
      <c r="I11" s="1"/>
    </row>
    <row r="12" spans="1:9" x14ac:dyDescent="0.25">
      <c r="A12" s="1"/>
      <c r="B12" s="105" t="s">
        <v>110</v>
      </c>
      <c r="C12" s="106"/>
      <c r="D12" s="106"/>
      <c r="E12" s="106"/>
      <c r="F12" s="107"/>
      <c r="G12" s="26">
        <f>G10*'Fane 14. Nøgletal'!C17+G11*'Fane 14. Nøgletal'!C18</f>
        <v>92654.980163640459</v>
      </c>
      <c r="H12" s="14" t="s">
        <v>3</v>
      </c>
      <c r="I12" s="1"/>
    </row>
    <row r="13" spans="1:9" x14ac:dyDescent="0.25">
      <c r="A13" s="1"/>
      <c r="B13" s="45"/>
      <c r="C13" s="46"/>
      <c r="D13" s="46"/>
      <c r="E13" s="46"/>
      <c r="F13" s="46"/>
      <c r="G13" s="46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02" t="s">
        <v>111</v>
      </c>
      <c r="C15" s="103"/>
      <c r="D15" s="103"/>
      <c r="E15" s="103"/>
      <c r="F15" s="103"/>
      <c r="G15" s="103"/>
      <c r="H15" s="104"/>
      <c r="I15" s="1"/>
    </row>
    <row r="16" spans="1:9" x14ac:dyDescent="0.25">
      <c r="A16" s="1"/>
      <c r="B16" s="105" t="s">
        <v>112</v>
      </c>
      <c r="C16" s="106"/>
      <c r="D16" s="106"/>
      <c r="E16" s="106"/>
      <c r="F16" s="107"/>
      <c r="G16" s="26">
        <f>(G10+G11-G12)*(1+'Fane 14. Nøgletal'!C11)</f>
        <v>10259718.637309613</v>
      </c>
      <c r="H16" s="14" t="s">
        <v>3</v>
      </c>
      <c r="I16" s="1"/>
    </row>
    <row r="17" spans="1:9" x14ac:dyDescent="0.25">
      <c r="A17" s="1"/>
      <c r="B17" s="105" t="s">
        <v>223</v>
      </c>
      <c r="C17" s="106"/>
      <c r="D17" s="106"/>
      <c r="E17" s="106"/>
      <c r="F17" s="107"/>
      <c r="G17" s="26">
        <v>129414.28448585492</v>
      </c>
      <c r="H17" s="14" t="s">
        <v>3</v>
      </c>
      <c r="I17" s="1"/>
    </row>
    <row r="18" spans="1:9" x14ac:dyDescent="0.25">
      <c r="A18" s="1"/>
      <c r="B18" s="108" t="s">
        <v>113</v>
      </c>
      <c r="C18" s="109"/>
      <c r="D18" s="109"/>
      <c r="E18" s="109"/>
      <c r="F18" s="110"/>
      <c r="G18" s="26">
        <v>659073.42944789003</v>
      </c>
      <c r="H18" s="14" t="s">
        <v>3</v>
      </c>
      <c r="I18" s="1"/>
    </row>
    <row r="19" spans="1:9" x14ac:dyDescent="0.25">
      <c r="A19" s="1"/>
      <c r="B19" s="105" t="s">
        <v>114</v>
      </c>
      <c r="C19" s="106"/>
      <c r="D19" s="106"/>
      <c r="E19" s="106"/>
      <c r="F19" s="107"/>
      <c r="G19" s="26">
        <f>SUM(G16:G18)*'Fane 14. Nøgletal'!C19</f>
        <v>96119.395255817188</v>
      </c>
      <c r="H19" s="14" t="s">
        <v>3</v>
      </c>
      <c r="I19" s="1"/>
    </row>
    <row r="20" spans="1:9" x14ac:dyDescent="0.25">
      <c r="A20" s="1"/>
      <c r="B20" s="45"/>
      <c r="C20" s="46"/>
      <c r="D20" s="46"/>
      <c r="E20" s="46"/>
      <c r="F20" s="46"/>
      <c r="G20" s="46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02" t="s">
        <v>115</v>
      </c>
      <c r="C22" s="103"/>
      <c r="D22" s="103"/>
      <c r="E22" s="103"/>
      <c r="F22" s="103"/>
      <c r="G22" s="103"/>
      <c r="H22" s="104"/>
      <c r="I22" s="1"/>
    </row>
    <row r="23" spans="1:9" x14ac:dyDescent="0.25">
      <c r="A23" s="1"/>
      <c r="B23" s="105" t="s">
        <v>116</v>
      </c>
      <c r="C23" s="106"/>
      <c r="D23" s="106"/>
      <c r="E23" s="106"/>
      <c r="F23" s="107"/>
      <c r="G23" s="26">
        <f>(SUM(G16:G18)-G19)*(1+'Fane 14. Nøgletal'!C11)</f>
        <v>11137177.225543728</v>
      </c>
      <c r="H23" s="14" t="s">
        <v>3</v>
      </c>
      <c r="I23" s="1"/>
    </row>
    <row r="24" spans="1:9" x14ac:dyDescent="0.25">
      <c r="A24" s="1"/>
      <c r="B24" s="108" t="s">
        <v>117</v>
      </c>
      <c r="C24" s="109"/>
      <c r="D24" s="109"/>
      <c r="E24" s="109"/>
      <c r="F24" s="110"/>
      <c r="G24" s="26">
        <f>('Fane 2.1. Økonomisk ramme 2020'!C11+'Fane 2.1. Økonomisk ramme 2020'!C13+'Fane 2.1. Økonomisk ramme 2020'!C15)*(1+'Fane 14. Nøgletal'!C12)</f>
        <v>9053.8820085087009</v>
      </c>
      <c r="H24" s="14" t="s">
        <v>3</v>
      </c>
      <c r="I24" s="1"/>
    </row>
    <row r="25" spans="1:9" x14ac:dyDescent="0.25">
      <c r="A25" s="1"/>
      <c r="B25" s="105" t="s">
        <v>118</v>
      </c>
      <c r="C25" s="106"/>
      <c r="D25" s="106"/>
      <c r="E25" s="106"/>
      <c r="F25" s="107"/>
      <c r="G25" s="26">
        <f>G23*'Fane 14. Nøgletal'!C19+G24*'Fane 14. Nøgletal'!C20</f>
        <v>97150.572111272064</v>
      </c>
      <c r="H25" s="14" t="s">
        <v>3</v>
      </c>
      <c r="I25" s="1"/>
    </row>
    <row r="26" spans="1:9" x14ac:dyDescent="0.25">
      <c r="A26" s="1"/>
      <c r="B26" s="45"/>
      <c r="C26" s="46"/>
      <c r="D26" s="46"/>
      <c r="E26" s="46"/>
      <c r="F26" s="46"/>
      <c r="G26" s="46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02" t="s">
        <v>190</v>
      </c>
      <c r="C28" s="103"/>
      <c r="D28" s="103"/>
      <c r="E28" s="103"/>
      <c r="F28" s="103"/>
      <c r="G28" s="103"/>
      <c r="H28" s="104"/>
      <c r="I28" s="1"/>
    </row>
    <row r="29" spans="1:9" x14ac:dyDescent="0.25">
      <c r="A29" s="1"/>
      <c r="B29" s="105" t="s">
        <v>119</v>
      </c>
      <c r="C29" s="106"/>
      <c r="D29" s="106"/>
      <c r="E29" s="106"/>
      <c r="F29" s="107"/>
      <c r="G29" s="26">
        <f>(G23+G24-G25)*(1+'Fane 14. Nøgletal'!C12)</f>
        <v>11266747.421989152</v>
      </c>
      <c r="H29" s="14" t="s">
        <v>3</v>
      </c>
      <c r="I29" s="1"/>
    </row>
    <row r="30" spans="1:9" x14ac:dyDescent="0.25">
      <c r="A30" s="1"/>
      <c r="B30" s="105" t="s">
        <v>151</v>
      </c>
      <c r="C30" s="106"/>
      <c r="D30" s="106"/>
      <c r="E30" s="106"/>
      <c r="F30" s="107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105" t="s">
        <v>219</v>
      </c>
      <c r="C31" s="106"/>
      <c r="D31" s="106"/>
      <c r="E31" s="106"/>
      <c r="F31" s="107"/>
      <c r="G31" s="26">
        <f>(G29+G30)*'Fane 14. Nøgletal'!C20</f>
        <v>319975.62678449193</v>
      </c>
      <c r="H31" s="14" t="s">
        <v>3</v>
      </c>
      <c r="I31" s="1"/>
    </row>
    <row r="32" spans="1:9" x14ac:dyDescent="0.25">
      <c r="A32" s="1"/>
      <c r="B32" s="45"/>
      <c r="C32" s="46"/>
      <c r="D32" s="46"/>
      <c r="E32" s="46"/>
      <c r="F32" s="46"/>
      <c r="G32" s="46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02" t="s">
        <v>128</v>
      </c>
      <c r="C34" s="103"/>
      <c r="D34" s="103"/>
      <c r="E34" s="103"/>
      <c r="F34" s="103"/>
      <c r="G34" s="103"/>
      <c r="H34" s="104"/>
      <c r="I34" s="1"/>
    </row>
    <row r="35" spans="1:9" x14ac:dyDescent="0.25">
      <c r="A35" s="1"/>
      <c r="B35" s="105" t="s">
        <v>123</v>
      </c>
      <c r="C35" s="106"/>
      <c r="D35" s="106"/>
      <c r="E35" s="106"/>
      <c r="F35" s="107"/>
      <c r="G35" s="26">
        <f>(G29-G31)*(1+'Fane 14. Nøgletal'!C12)</f>
        <v>11162423.199570192</v>
      </c>
      <c r="H35" s="14" t="s">
        <v>3</v>
      </c>
      <c r="I35" s="1"/>
    </row>
    <row r="36" spans="1:9" x14ac:dyDescent="0.25">
      <c r="A36" s="1"/>
      <c r="B36" s="105" t="s">
        <v>152</v>
      </c>
      <c r="C36" s="106"/>
      <c r="D36" s="106"/>
      <c r="E36" s="106"/>
      <c r="F36" s="107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105" t="s">
        <v>120</v>
      </c>
      <c r="C37" s="106"/>
      <c r="D37" s="106"/>
      <c r="E37" s="106"/>
      <c r="F37" s="107"/>
      <c r="G37" s="26">
        <f>(G35+G36)*'Fane 14. Nøgletal'!C20</f>
        <v>317012.81886779348</v>
      </c>
      <c r="H37" s="14" t="s">
        <v>3</v>
      </c>
      <c r="I37" s="1"/>
    </row>
    <row r="38" spans="1:9" x14ac:dyDescent="0.25">
      <c r="A38" s="1"/>
      <c r="B38" s="45"/>
      <c r="C38" s="46"/>
      <c r="D38" s="46"/>
      <c r="E38" s="46"/>
      <c r="F38" s="46"/>
      <c r="G38" s="46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02" t="s">
        <v>129</v>
      </c>
      <c r="C40" s="103"/>
      <c r="D40" s="103"/>
      <c r="E40" s="103"/>
      <c r="F40" s="103"/>
      <c r="G40" s="103"/>
      <c r="H40" s="104"/>
      <c r="I40" s="1"/>
    </row>
    <row r="41" spans="1:9" x14ac:dyDescent="0.25">
      <c r="A41" s="1"/>
      <c r="B41" s="105" t="s">
        <v>122</v>
      </c>
      <c r="C41" s="106"/>
      <c r="D41" s="106"/>
      <c r="E41" s="106"/>
      <c r="F41" s="107"/>
      <c r="G41" s="26">
        <f>(G35-G37)*(1+'Fane 14. Nøgletal'!C12)</f>
        <v>11059064.965202237</v>
      </c>
      <c r="H41" s="14" t="s">
        <v>3</v>
      </c>
      <c r="I41" s="1"/>
    </row>
    <row r="42" spans="1:9" x14ac:dyDescent="0.25">
      <c r="A42" s="1"/>
      <c r="B42" s="105" t="s">
        <v>153</v>
      </c>
      <c r="C42" s="106"/>
      <c r="D42" s="106"/>
      <c r="E42" s="106"/>
      <c r="F42" s="107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105" t="s">
        <v>121</v>
      </c>
      <c r="C43" s="106"/>
      <c r="D43" s="106"/>
      <c r="E43" s="106"/>
      <c r="F43" s="107"/>
      <c r="G43" s="26">
        <f>(G41+G42)*'Fane 14. Nøgletal'!C20</f>
        <v>314077.44501174352</v>
      </c>
      <c r="H43" s="14" t="s">
        <v>3</v>
      </c>
      <c r="I43" s="1"/>
    </row>
    <row r="44" spans="1:9" x14ac:dyDescent="0.25">
      <c r="A44" s="1"/>
      <c r="B44" s="45"/>
      <c r="C44" s="46"/>
      <c r="D44" s="46"/>
      <c r="E44" s="46"/>
      <c r="F44" s="46"/>
      <c r="G44" s="46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7c44aFt04aS4x67etDpJjyWmw7Yd4wqzpeZunFEvNL094bIKJzWqz9cB8ZoqKpt/NJO++T+Jstmmdy+GucGawg==" saltValue="HaUTy7bdBohXsVTC7fW+0g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144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2" t="s">
        <v>10</v>
      </c>
      <c r="C8" s="103"/>
      <c r="D8" s="103"/>
      <c r="E8" s="103"/>
      <c r="F8" s="103"/>
      <c r="G8" s="103"/>
      <c r="H8" s="104"/>
      <c r="I8" s="1"/>
    </row>
    <row r="9" spans="1:9" x14ac:dyDescent="0.25">
      <c r="A9" s="1"/>
      <c r="B9" s="105" t="s">
        <v>178</v>
      </c>
      <c r="C9" s="106"/>
      <c r="D9" s="106"/>
      <c r="E9" s="106"/>
      <c r="F9" s="107"/>
      <c r="G9" s="25">
        <v>1.3207081454037782E-2</v>
      </c>
      <c r="H9" s="14"/>
      <c r="I9" s="1"/>
    </row>
    <row r="10" spans="1:9" x14ac:dyDescent="0.25">
      <c r="A10" s="1"/>
      <c r="B10" s="105" t="s">
        <v>179</v>
      </c>
      <c r="C10" s="106"/>
      <c r="D10" s="106"/>
      <c r="E10" s="106"/>
      <c r="F10" s="107"/>
      <c r="G10" s="25">
        <v>0.02</v>
      </c>
      <c r="H10" s="14"/>
      <c r="I10" s="1"/>
    </row>
    <row r="11" spans="1:9" x14ac:dyDescent="0.25">
      <c r="A11" s="1"/>
      <c r="B11" s="45"/>
      <c r="C11" s="46"/>
      <c r="D11" s="46"/>
      <c r="E11" s="46"/>
      <c r="F11" s="46"/>
      <c r="G11" s="46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12"/>
      <c r="C13" s="112"/>
      <c r="D13" s="112"/>
      <c r="E13" s="112"/>
      <c r="F13" s="112"/>
      <c r="G13" s="112"/>
      <c r="H13" s="112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dw8GOX+YDJd2NZyRushK7WYRzJbY8JJjkpl+l9enXImFYAb5fqKodQycikgqj7TUASYaeJKeW+/8jlWfhkX0oQ==" saltValue="hkpUfbqHPDvTUlYgoP7OzQ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2019-09-02T11:44:25Z</dcterms:modified>
</cp:coreProperties>
</file>