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Andelsselskabet Vejgaard Vandværk (V010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4" i="19"/>
  <c r="C15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<sst xmlns="http://schemas.openxmlformats.org/spreadsheetml/2006/main" count="424" uniqueCount="165">
  <si>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</si>
  <si>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</si>
  <si>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</si>
  <si>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</si>
  <si>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</si>
  <si>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</si>
  <si>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</si>
  <si>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</si>
  <si>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</si>
  <si>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</si>
  <si>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</si>
  <si>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</si>
  <si>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</si>
  <si>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</si>
  <si>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</si>
  <si>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</si>
  <si>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</si>
  <si>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</si>
  <si>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</si>
  <si>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</si>
  <si>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</si>
  <si>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</si>
  <si>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</si>
  <si>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</si>
  <si>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</si>
  <si>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</si>
  <si>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</si>
  <si>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</si>
  <si>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</si>
  <si>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</si>
  <si>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</si>
  <si>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</si>
  <si>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</si>
  <si>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</si>
  <si>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</si>
  <si>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</si>
  <si>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</si>
  <si>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</si>
  <si>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</si>
  <si>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</si>
  <si>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</si>
  <si>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</si>
  <si>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</si>
  <si>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</si>
  <si>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</si>
  <si>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</si>
  <si>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</si>
  <si>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</si>
  <si>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</si>
  <si>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</si>
  <si>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</si>
  <si>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</si>
  <si>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</si>
  <si>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</si>
  <si>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</si>
  <si>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</si>
  <si>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</si>
  <si>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</si>
  <si>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</si>
  <si>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</si>
  <si>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</si>
  <si>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</si>
  <si>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</si>
  <si>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</si>
  <si>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</si>
  <si>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</si>
  <si>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</si>
  <si>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</si>
  <si>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</si>
  <si>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</si>
  <si>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</si>
  <si>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</si>
  <si>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</si>
  <si>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</si>
  <si>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</si>
  <si>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</si>
  <si>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</si>
  <si>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</si>
  <si>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</si>
  <si>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</si>
  <si>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</si>
  <si>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</si>
  <si>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</si>
  <si>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</si>
  <si>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</si>
  <si>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</si>
  <si>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</si>
  <si>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</si>
  <si>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</si>
  <si>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</si>
  <si>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</si>
  <si>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</si>
  <si>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</si>
  <si>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</si>
  <si>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</si>
  <si>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</si>
  <si>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</si>
  <si>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</si>
  <si>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</si>
  <si>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</si>
  <si>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</si>
  <si>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</si>
  <si>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</si>
  <si>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</si>
  <si>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</si>
  <si>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</si>
  <si>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</si>
  <si>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</si>
  <si>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</si>
  <si>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</si>
  <si>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</si>
  <si>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</si>
  <si>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</si>
  <si>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</si>
  <si>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</si>
  <si>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</si>
  <si>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</si>
  <si>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</si>
  <si>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</si>
  <si>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</si>
  <si>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</si>
  <si>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</si>
  <si>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</si>
  <si>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</si>
  <si>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</si>
  <si>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</si>
  <si>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</si>
  <si>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</si>
  <si>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</si>
  <si>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</si>
  <si>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</si>
  <si>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</si>
  <si>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</si>
  <si>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</si>
  <si>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</si>
  <si>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</si>
  <si>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</si>
  <si>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</si>
  <si>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</si>
  <si>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</si>
  <si>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</si>
  <si>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</si>
  <si>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</si>
  <si>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</si>
  <si>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</si>
  <si>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</si>
  <si>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</si>
  <si>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</si>
  <si>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</si>
  <si>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</si>
  <si>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</si>
  <si>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</si>
  <si>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</si>
  <si>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</si>
  <si>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</si>
  <si>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</si>
  <si>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</si>
  <si>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</si>
  <si>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</si>
  <si>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Afgift til Forsyningssekretariatet</t>
  </si>
  <si>
    <t>Ejendomsskat</t>
  </si>
  <si>
    <t>Vandsamarbejde etableret i medfør af § 48 i vandforsyningsloven</t>
  </si>
  <si>
    <t>Ingen engangstillæg</t>
  </si>
  <si>
    <t>Bortfald miljø- og servicemål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</si>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</sst>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49" t="s">
        <v>4</v>
      </c>
      <c r="E6" s="49"/>
      <c r="F6" s="49"/>
      <c r="G6" s="49"/>
      <c r="H6" s="3"/>
      <c r="I6" s="1"/>
    </row>
    <row r="7" spans="1:9" ht="15" customHeight="1" x14ac:dyDescent="0.25">
      <c r="A7" s="1"/>
      <c r="B7" s="1"/>
      <c r="C7" s="3"/>
      <c r="D7" s="49"/>
      <c r="E7" s="49"/>
      <c r="F7" s="49"/>
      <c r="G7" s="49"/>
      <c r="H7" s="3"/>
      <c r="I7" s="1"/>
    </row>
    <row r="8" spans="1:9" ht="15.75" x14ac:dyDescent="0.25">
      <c r="A8" s="1"/>
      <c r="B8" s="1"/>
      <c r="C8" s="4"/>
      <c r="D8" s="54" t="s">
        <v>116</v>
      </c>
      <c r="E8" s="54"/>
      <c r="F8" s="54"/>
      <c r="G8" s="5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3" t="s">
        <v>5</v>
      </c>
      <c r="E11" s="53"/>
      <c r="F11" s="53"/>
      <c r="G11" s="5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6" t="s">
        <v>49</v>
      </c>
      <c r="E13" s="47"/>
      <c r="F13" s="47"/>
      <c r="G13" s="48"/>
      <c r="H13" s="1"/>
      <c r="I13" s="1"/>
    </row>
    <row r="14" spans="1:9" x14ac:dyDescent="0.25">
      <c r="A14" s="1"/>
      <c r="B14" s="1"/>
      <c r="C14" s="6" t="s">
        <v>22</v>
      </c>
      <c r="D14" s="46" t="s">
        <v>117</v>
      </c>
      <c r="E14" s="47"/>
      <c r="F14" s="47"/>
      <c r="G14" s="48"/>
      <c r="H14" s="1"/>
      <c r="I14" s="1"/>
    </row>
    <row r="15" spans="1:9" x14ac:dyDescent="0.25">
      <c r="A15" s="1"/>
      <c r="B15" s="1"/>
      <c r="C15" s="6" t="s">
        <v>48</v>
      </c>
      <c r="D15" s="46" t="s">
        <v>75</v>
      </c>
      <c r="E15" s="47"/>
      <c r="F15" s="47"/>
      <c r="G15" s="48"/>
      <c r="H15" s="1"/>
      <c r="I15" s="1"/>
    </row>
    <row r="16" spans="1:9" x14ac:dyDescent="0.25">
      <c r="A16" s="1"/>
      <c r="B16" s="1"/>
      <c r="C16" s="6" t="s">
        <v>50</v>
      </c>
      <c r="D16" s="46" t="s">
        <v>76</v>
      </c>
      <c r="E16" s="47"/>
      <c r="F16" s="47"/>
      <c r="G16" s="48"/>
      <c r="H16" s="1"/>
      <c r="I16" s="1"/>
    </row>
    <row r="17" spans="1:9" x14ac:dyDescent="0.25">
      <c r="A17" s="1"/>
      <c r="B17" s="1"/>
      <c r="C17" s="6" t="s">
        <v>139</v>
      </c>
      <c r="D17" s="46" t="s">
        <v>57</v>
      </c>
      <c r="E17" s="47"/>
      <c r="F17" s="47"/>
      <c r="G17" s="48"/>
      <c r="H17" s="1"/>
      <c r="I17" s="1"/>
    </row>
    <row r="18" spans="1:9" x14ac:dyDescent="0.25">
      <c r="A18" s="1"/>
      <c r="B18" s="1"/>
      <c r="C18" s="6" t="s">
        <v>7</v>
      </c>
      <c r="D18" s="58" t="s">
        <v>16</v>
      </c>
      <c r="E18" s="59"/>
      <c r="F18" s="59"/>
      <c r="G18" s="60"/>
      <c r="H18" s="1"/>
      <c r="I18" s="1"/>
    </row>
    <row r="19" spans="1:9" x14ac:dyDescent="0.25">
      <c r="A19" s="1"/>
      <c r="B19" s="1"/>
      <c r="C19" s="6" t="s">
        <v>8</v>
      </c>
      <c r="D19" s="50" t="s">
        <v>97</v>
      </c>
      <c r="E19" s="51"/>
      <c r="F19" s="51"/>
      <c r="G19" s="52"/>
      <c r="H19" s="1"/>
      <c r="I19" s="1"/>
    </row>
    <row r="20" spans="1:9" x14ac:dyDescent="0.25">
      <c r="A20" s="1"/>
      <c r="B20" s="1"/>
      <c r="C20" s="6" t="s">
        <v>123</v>
      </c>
      <c r="D20" s="50" t="s">
        <v>147</v>
      </c>
      <c r="E20" s="51"/>
      <c r="F20" s="51"/>
      <c r="G20" s="52"/>
      <c r="H20" s="1"/>
      <c r="I20" s="1"/>
    </row>
    <row r="21" spans="1:9" x14ac:dyDescent="0.25">
      <c r="A21" s="1"/>
      <c r="B21" s="1"/>
      <c r="C21" s="6" t="s">
        <v>82</v>
      </c>
      <c r="D21" s="50" t="s">
        <v>51</v>
      </c>
      <c r="E21" s="51"/>
      <c r="F21" s="51"/>
      <c r="G21" s="52"/>
      <c r="H21" s="1"/>
      <c r="I21" s="1"/>
    </row>
    <row r="22" spans="1:9" x14ac:dyDescent="0.25">
      <c r="A22" s="1"/>
      <c r="B22" s="1"/>
      <c r="C22" s="6" t="s">
        <v>124</v>
      </c>
      <c r="D22" s="50" t="s">
        <v>83</v>
      </c>
      <c r="E22" s="51"/>
      <c r="F22" s="51"/>
      <c r="G22" s="52"/>
      <c r="H22" s="1"/>
      <c r="I22" s="1"/>
    </row>
    <row r="23" spans="1:9" x14ac:dyDescent="0.25">
      <c r="A23" s="1"/>
      <c r="B23" s="1"/>
      <c r="C23" s="6" t="s">
        <v>125</v>
      </c>
      <c r="D23" s="50" t="s">
        <v>84</v>
      </c>
      <c r="E23" s="51"/>
      <c r="F23" s="51"/>
      <c r="G23" s="52"/>
      <c r="H23" s="1"/>
      <c r="I23" s="1"/>
    </row>
    <row r="24" spans="1:9" x14ac:dyDescent="0.25">
      <c r="A24" s="1"/>
      <c r="B24" s="1"/>
      <c r="C24" s="6" t="s">
        <v>9</v>
      </c>
      <c r="D24" s="50" t="s">
        <v>52</v>
      </c>
      <c r="E24" s="51"/>
      <c r="F24" s="51"/>
      <c r="G24" s="52"/>
      <c r="H24" s="1"/>
      <c r="I24" s="1"/>
    </row>
    <row r="25" spans="1:9" x14ac:dyDescent="0.25">
      <c r="A25" s="1"/>
      <c r="B25" s="1"/>
      <c r="C25" s="6" t="s">
        <v>96</v>
      </c>
      <c r="D25" s="50" t="s">
        <v>53</v>
      </c>
      <c r="E25" s="51"/>
      <c r="F25" s="51"/>
      <c r="G25" s="52"/>
      <c r="H25" s="1"/>
      <c r="I25" s="1"/>
    </row>
    <row r="26" spans="1:9" x14ac:dyDescent="0.25">
      <c r="A26" s="1"/>
      <c r="B26" s="1"/>
      <c r="C26" s="6" t="s">
        <v>126</v>
      </c>
      <c r="D26" s="61" t="s">
        <v>10</v>
      </c>
      <c r="E26" s="62"/>
      <c r="F26" s="62"/>
      <c r="G26" s="63"/>
      <c r="H26" s="1"/>
      <c r="I26" s="1"/>
    </row>
    <row r="27" spans="1:9" x14ac:dyDescent="0.25">
      <c r="A27" s="1"/>
      <c r="B27" s="1"/>
      <c r="C27" s="6" t="s">
        <v>21</v>
      </c>
      <c r="D27" s="55" t="s">
        <v>127</v>
      </c>
      <c r="E27" s="56"/>
      <c r="F27" s="56"/>
      <c r="G27" s="57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izd248QIvMZyRnNjJmDCPtPA3kTXhZh4bGQX9HSEC/qqM0oNBhTCbVbM71YBgAjAbtC80bzdd+Te5DTO5yJ2rg==" saltValue="77GSfYYrorzsi8G5GT7KnA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151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152</v>
      </c>
      <c r="C8" s="76"/>
      <c r="D8" s="76"/>
      <c r="E8" s="76"/>
      <c r="F8" s="76"/>
      <c r="G8" s="76"/>
      <c r="H8" s="77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4" t="s">
        <v>2</v>
      </c>
      <c r="F9" s="34" t="s">
        <v>15</v>
      </c>
      <c r="G9" s="34" t="s">
        <v>41</v>
      </c>
      <c r="H9" s="43"/>
      <c r="I9" s="1"/>
    </row>
    <row r="10" spans="1:9" x14ac:dyDescent="0.25">
      <c r="A10" s="1"/>
      <c r="B10" s="98" t="s">
        <v>156</v>
      </c>
      <c r="C10" s="99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5" t="s">
        <v>153</v>
      </c>
      <c r="C11" s="76"/>
      <c r="D11" s="77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MtgROSUGC9PteStYNZF9raME4QXwVRSFuj6rOYMAsU8cGkoJbBYiJhPddJsfBSu0A68m9kxApWZ+dDDA0vTucA==" saltValue="XUOFdIvgOlLSTJ/hkNMvb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120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79</v>
      </c>
      <c r="C8" s="24"/>
      <c r="D8" s="24"/>
      <c r="E8" s="24"/>
      <c r="F8" s="45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157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4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QQfq7fjl6naXdE9wiiEepx9WfoLvZZUCJsY8DFP66kAMdb5t80SxkPju6bZjomyWk+JswP2W8+m7/eVyPU/HSg==" saltValue="eQHyaJrcxAXYZcnNBTPjo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121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102</v>
      </c>
      <c r="C8" s="76"/>
      <c r="D8" s="76"/>
      <c r="E8" s="76"/>
      <c r="F8" s="77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162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4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5" t="s">
        <v>103</v>
      </c>
      <c r="C15" s="76"/>
      <c r="D15" s="76"/>
      <c r="E15" s="76"/>
      <c r="F15" s="77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3"/>
      <c r="G16" s="1"/>
    </row>
    <row r="17" spans="1:7" x14ac:dyDescent="0.25">
      <c r="A17" s="1"/>
      <c r="B17" s="22" t="s">
        <v>162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4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4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5" t="s">
        <v>104</v>
      </c>
      <c r="C22" s="76"/>
      <c r="D22" s="76"/>
      <c r="E22" s="76"/>
      <c r="F22" s="77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3"/>
      <c r="G23" s="1"/>
    </row>
    <row r="24" spans="1:7" x14ac:dyDescent="0.25">
      <c r="A24" s="1"/>
      <c r="B24" s="22" t="s">
        <v>162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4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4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5" t="s">
        <v>105</v>
      </c>
      <c r="C29" s="76"/>
      <c r="D29" s="76"/>
      <c r="E29" s="76"/>
      <c r="F29" s="77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3"/>
      <c r="G30" s="1"/>
    </row>
    <row r="31" spans="1:7" x14ac:dyDescent="0.25">
      <c r="A31" s="1"/>
      <c r="B31" s="22" t="s">
        <v>162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4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4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iXNN0OWUl9B6RGYCn8GkXjevxRFmCHSf5m48lFDRxg9+gTSHharFSK3+7dv2XrxKBDy5dawS9ywppq4P2EqnpQ==" saltValue="ca++rIAppS5oF81tK0+fP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134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32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33</v>
      </c>
      <c r="C9" s="87" t="s">
        <v>15</v>
      </c>
      <c r="D9" s="88"/>
      <c r="E9" s="87" t="s">
        <v>42</v>
      </c>
      <c r="F9" s="88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NR983VGWN47jXbVNUqXXed1bpVIRBYCzagtGJDJ9DNUEXDqRwUdvFG/szcOa9modLRFA5lJnpfPVRPQhqhREWw==" saltValue="J15kHCIFX8k7Bx0aphjao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135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91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25</v>
      </c>
      <c r="C9" s="42" t="s">
        <v>15</v>
      </c>
      <c r="D9" s="43"/>
      <c r="E9" s="42" t="s">
        <v>42</v>
      </c>
      <c r="F9" s="43"/>
      <c r="G9" s="1"/>
    </row>
    <row r="10" spans="1:7" x14ac:dyDescent="0.25">
      <c r="A10" s="1"/>
      <c r="B10" s="22" t="s">
        <v>163</v>
      </c>
      <c r="C10" s="8">
        <v>665867.36463034363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55</v>
      </c>
      <c r="C11" s="10">
        <f>SUM(C10:C10)</f>
        <v>665867.36463034363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64</v>
      </c>
      <c r="C12" s="10">
        <f>C11*(1+'Fane 12. Nøgletal'!C12)</f>
        <v>678984.95171356143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5" t="s">
        <v>92</v>
      </c>
      <c r="C14" s="76"/>
      <c r="D14" s="76"/>
      <c r="E14" s="76"/>
      <c r="F14" s="77"/>
      <c r="G14" s="1"/>
    </row>
    <row r="15" spans="1:7" ht="26.25" x14ac:dyDescent="0.25">
      <c r="A15" s="1"/>
      <c r="B15" s="42" t="s">
        <v>25</v>
      </c>
      <c r="C15" s="42" t="s">
        <v>15</v>
      </c>
      <c r="D15" s="43"/>
      <c r="E15" s="42" t="s">
        <v>42</v>
      </c>
      <c r="F15" s="43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4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4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5" t="s">
        <v>90</v>
      </c>
      <c r="C20" s="76"/>
      <c r="D20" s="76"/>
      <c r="E20" s="76"/>
      <c r="F20" s="77"/>
      <c r="G20" s="1"/>
    </row>
    <row r="21" spans="1:7" ht="26.25" x14ac:dyDescent="0.25">
      <c r="A21" s="1"/>
      <c r="B21" s="42" t="s">
        <v>25</v>
      </c>
      <c r="C21" s="42" t="s">
        <v>15</v>
      </c>
      <c r="D21" s="43"/>
      <c r="E21" s="42" t="s">
        <v>42</v>
      </c>
      <c r="F21" s="43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4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4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5" t="s">
        <v>93</v>
      </c>
      <c r="C26" s="76"/>
      <c r="D26" s="76"/>
      <c r="E26" s="76"/>
      <c r="F26" s="77"/>
      <c r="G26" s="1"/>
    </row>
    <row r="27" spans="1:7" ht="26.25" x14ac:dyDescent="0.25">
      <c r="A27" s="1"/>
      <c r="B27" s="42" t="s">
        <v>25</v>
      </c>
      <c r="C27" s="42" t="s">
        <v>15</v>
      </c>
      <c r="D27" s="43"/>
      <c r="E27" s="42" t="s">
        <v>42</v>
      </c>
      <c r="F27" s="43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4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4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JR4QY9ebBnkX6hs46OiOE+Mglx+f9EcBgM5jk2UvvAf8/VsfDYFWoniM/Lft0F7LZoY0gL9RPMhVecHR1+Bpgw==" saltValue="/hgIz7ngq33+A7T1hG/ge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136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9" t="s">
        <v>11</v>
      </c>
      <c r="C9" s="90"/>
      <c r="D9" s="90"/>
      <c r="E9" s="90"/>
      <c r="F9" s="91"/>
      <c r="G9" s="8">
        <v>7237496</v>
      </c>
      <c r="H9" s="12" t="s">
        <v>3</v>
      </c>
      <c r="I9" s="1"/>
    </row>
    <row r="10" spans="1:9" x14ac:dyDescent="0.25">
      <c r="A10" s="1"/>
      <c r="B10" s="89" t="s">
        <v>77</v>
      </c>
      <c r="C10" s="90"/>
      <c r="D10" s="90"/>
      <c r="E10" s="90"/>
      <c r="F10" s="91"/>
      <c r="G10" s="8">
        <v>0</v>
      </c>
      <c r="H10" s="12" t="s">
        <v>3</v>
      </c>
      <c r="I10" s="1"/>
    </row>
    <row r="11" spans="1:9" x14ac:dyDescent="0.25">
      <c r="A11" s="1"/>
      <c r="B11" s="89" t="s">
        <v>69</v>
      </c>
      <c r="C11" s="90"/>
      <c r="D11" s="90"/>
      <c r="E11" s="90"/>
      <c r="F11" s="91"/>
      <c r="G11" s="8">
        <v>-6530469.4709351854</v>
      </c>
      <c r="H11" s="12" t="s">
        <v>3</v>
      </c>
      <c r="I11" s="1"/>
    </row>
    <row r="12" spans="1:9" x14ac:dyDescent="0.25">
      <c r="A12" s="1"/>
      <c r="B12" s="92" t="s">
        <v>14</v>
      </c>
      <c r="C12" s="93"/>
      <c r="D12" s="93"/>
      <c r="E12" s="93"/>
      <c r="F12" s="94"/>
      <c r="G12" s="17">
        <f>(G9+G10)+G11</f>
        <v>707026.52906481456</v>
      </c>
      <c r="H12" s="16" t="s">
        <v>3</v>
      </c>
      <c r="I12" s="1"/>
    </row>
    <row r="13" spans="1:9" x14ac:dyDescent="0.25">
      <c r="A13" s="1"/>
      <c r="B13" s="89" t="s">
        <v>12</v>
      </c>
      <c r="C13" s="90"/>
      <c r="D13" s="90"/>
      <c r="E13" s="90"/>
      <c r="F13" s="91"/>
      <c r="G13" s="8">
        <v>1</v>
      </c>
      <c r="H13" s="12" t="s">
        <v>27</v>
      </c>
      <c r="I13" s="1"/>
    </row>
    <row r="14" spans="1:9" x14ac:dyDescent="0.25">
      <c r="A14" s="1"/>
      <c r="B14" s="75" t="s">
        <v>78</v>
      </c>
      <c r="C14" s="76"/>
      <c r="D14" s="76"/>
      <c r="E14" s="76"/>
      <c r="F14" s="77"/>
      <c r="G14" s="10">
        <f>IF(G13 = 0,0,-G12/G13)</f>
        <v>-707026.52906481456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yGtrGxRA5H8KlrkP0c2StZ+QHCw3JksyZtfGCs2dSSKAklf7z3wFMfGHzduov4EBTpUfciopAaILT2O7PQFmA==" saltValue="pR1cj6OKULfJP6drqEueo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9" t="s">
        <v>137</v>
      </c>
      <c r="C3" s="69"/>
      <c r="D3" s="1"/>
    </row>
    <row r="4" spans="1:4" ht="25.5" customHeight="1" x14ac:dyDescent="0.25">
      <c r="A4" s="1"/>
      <c r="B4" s="69"/>
      <c r="C4" s="6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20</v>
      </c>
      <c r="C8" s="45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4"/>
      <c r="C13" s="45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4" t="s">
        <v>115</v>
      </c>
      <c r="C16" s="45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5"/>
      <c r="C18" s="96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GelsiM18ksKtXBV1LQeIW1JqffnwV0n0ncpswgFBPdjCSVKwl+cgDR+RSf7GWD9Id9+3vo3nifn7cjHv3GW0uw==" saltValue="1uS5cBmLFro4LzsnzaBYmA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56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x14ac:dyDescent="0.25">
      <c r="A9" s="1"/>
      <c r="B9" s="36" t="s">
        <v>35</v>
      </c>
      <c r="C9" s="36"/>
      <c r="D9" s="36"/>
      <c r="E9" s="7">
        <f>'Fane 3. Omkostninger i ØR2019'!E15</f>
        <v>5996958.287026329</v>
      </c>
      <c r="F9" s="36" t="s">
        <v>3</v>
      </c>
      <c r="G9" s="1"/>
    </row>
    <row r="10" spans="1:7" x14ac:dyDescent="0.25">
      <c r="A10" s="1"/>
      <c r="B10" s="38" t="s">
        <v>140</v>
      </c>
      <c r="C10" s="36"/>
      <c r="D10" s="36"/>
      <c r="E10" s="7">
        <f>'Fane 3. Omkostninger i ØR2019'!E10*(1-'Fane 12. Nøgletal'!C17)*(1+'Fane 12. Nøgletal'!C10)</f>
        <v>0</v>
      </c>
      <c r="F10" s="36" t="s">
        <v>3</v>
      </c>
      <c r="G10" s="1"/>
    </row>
    <row r="11" spans="1:7" x14ac:dyDescent="0.25">
      <c r="A11" s="1"/>
      <c r="B11" s="38" t="s">
        <v>143</v>
      </c>
      <c r="C11" s="36"/>
      <c r="D11" s="36"/>
      <c r="E11" s="7">
        <f>('Fane 3. Omkostninger i ØR2019'!E11+'Fane 3. Omkostninger i ØR2019'!E12)*(1-'Fane 12. Nøgletal'!C17)*(1+'Fane 12. Nøgletal'!C11)</f>
        <v>0</v>
      </c>
      <c r="F11" s="36" t="s">
        <v>3</v>
      </c>
      <c r="G11" s="1"/>
    </row>
    <row r="12" spans="1:7" ht="17.100000000000001" customHeight="1" x14ac:dyDescent="0.25">
      <c r="A12" s="1"/>
      <c r="B12" s="31" t="s">
        <v>141</v>
      </c>
      <c r="C12" s="36"/>
      <c r="D12" s="36"/>
      <c r="E12" s="7">
        <f>'Fane 8.1. Varige tillæg'!C12+'Fane 8.1. Varige tillæg'!E12</f>
        <v>0</v>
      </c>
      <c r="F12" s="36" t="s">
        <v>3</v>
      </c>
      <c r="G12" s="1"/>
    </row>
    <row r="13" spans="1:7" ht="17.100000000000001" customHeight="1" x14ac:dyDescent="0.25">
      <c r="A13" s="1"/>
      <c r="B13" s="31" t="s">
        <v>144</v>
      </c>
      <c r="C13" s="36"/>
      <c r="D13" s="36"/>
      <c r="E13" s="8">
        <f>-('Fane 10. Bortfald'!C12+'Fane 10. Bortfald'!E12)</f>
        <v>-678984.95171356143</v>
      </c>
      <c r="F13" s="36" t="s">
        <v>3</v>
      </c>
      <c r="G13" s="1"/>
    </row>
    <row r="14" spans="1:7" ht="17.100000000000001" customHeight="1" x14ac:dyDescent="0.25">
      <c r="A14" s="1"/>
      <c r="B14" s="31" t="s">
        <v>111</v>
      </c>
      <c r="C14" s="36"/>
      <c r="D14" s="36"/>
      <c r="E14" s="8">
        <f>'Fane 9. Tilknyttet aktivitet'!C12+'Fane 9. Tilknyttet aktivitet'!E12</f>
        <v>0</v>
      </c>
      <c r="F14" s="36" t="s">
        <v>3</v>
      </c>
      <c r="G14" s="1"/>
    </row>
    <row r="15" spans="1:7" ht="17.100000000000001" customHeight="1" x14ac:dyDescent="0.25">
      <c r="A15" s="1"/>
      <c r="B15" s="31" t="s">
        <v>26</v>
      </c>
      <c r="C15" s="36"/>
      <c r="D15" s="36"/>
      <c r="E15" s="8">
        <f>(E9-SUM(E10:E11))*'Fane 12. Nøgletal'!C9+E10*'Fane 12. Nøgletal'!C10+E11*'Fane 12. Nøgletal'!C11+SUM(E12:E14)*'Fane 12. Nøgletal'!C12</f>
        <v>62785.366696477213</v>
      </c>
      <c r="F15" s="36" t="s">
        <v>3</v>
      </c>
      <c r="G15" s="1"/>
    </row>
    <row r="16" spans="1:7" ht="17.100000000000001" customHeight="1" x14ac:dyDescent="0.25">
      <c r="A16" s="1"/>
      <c r="B16" s="31" t="s">
        <v>115</v>
      </c>
      <c r="C16" s="36"/>
      <c r="D16" s="36"/>
      <c r="E16" s="8">
        <f>-SUM(E9,E12:E15)*'Fane 12. Nøgletal'!C17</f>
        <v>-91472.897934157168</v>
      </c>
      <c r="F16" s="36" t="s">
        <v>3</v>
      </c>
      <c r="G16" s="1"/>
    </row>
    <row r="17" spans="1:7" ht="17.100000000000001" customHeight="1" x14ac:dyDescent="0.25">
      <c r="A17" s="1"/>
      <c r="B17" s="41" t="s">
        <v>28</v>
      </c>
      <c r="C17" s="39"/>
      <c r="D17" s="39"/>
      <c r="E17" s="9">
        <f>SUM(E9,E12:E16)</f>
        <v>5289285.8040750874</v>
      </c>
      <c r="F17" s="34" t="s">
        <v>3</v>
      </c>
      <c r="G17" s="1"/>
    </row>
    <row r="18" spans="1:7" ht="15" customHeight="1" x14ac:dyDescent="0.25">
      <c r="A18" s="1"/>
      <c r="B18" s="40" t="s">
        <v>16</v>
      </c>
      <c r="C18" s="40"/>
      <c r="D18" s="40"/>
      <c r="E18" s="40"/>
      <c r="F18" s="40"/>
      <c r="G18" s="1"/>
    </row>
    <row r="19" spans="1:7" ht="15" customHeight="1" x14ac:dyDescent="0.25">
      <c r="A19" s="1"/>
      <c r="B19" s="34" t="s">
        <v>16</v>
      </c>
      <c r="C19" s="34"/>
      <c r="D19" s="34"/>
      <c r="E19" s="9">
        <f>'Fane 4. Ikke-påvirkelige omk.'!C15</f>
        <v>4201539.3214888498</v>
      </c>
      <c r="F19" s="34" t="s">
        <v>3</v>
      </c>
      <c r="G19" s="1"/>
    </row>
    <row r="20" spans="1:7" ht="15" customHeight="1" x14ac:dyDescent="0.25">
      <c r="A20" s="1"/>
      <c r="B20" s="40" t="s">
        <v>84</v>
      </c>
      <c r="C20" s="40"/>
      <c r="D20" s="40"/>
      <c r="E20" s="40"/>
      <c r="F20" s="40"/>
      <c r="G20" s="1"/>
    </row>
    <row r="21" spans="1:7" ht="15" customHeight="1" x14ac:dyDescent="0.25">
      <c r="A21" s="1"/>
      <c r="B21" s="31" t="s">
        <v>80</v>
      </c>
      <c r="C21" s="36"/>
      <c r="D21" s="36"/>
      <c r="E21" s="8">
        <f>'Fane 8.2. Engangstillæg'!C13</f>
        <v>0</v>
      </c>
      <c r="F21" s="36" t="s">
        <v>3</v>
      </c>
      <c r="G21" s="1"/>
    </row>
    <row r="22" spans="1:7" ht="15" customHeight="1" x14ac:dyDescent="0.25">
      <c r="A22" s="1"/>
      <c r="B22" s="31" t="s">
        <v>81</v>
      </c>
      <c r="C22" s="36"/>
      <c r="D22" s="36"/>
      <c r="E22" s="8">
        <f>'Fane 8.2. Engangstillæg'!E13</f>
        <v>0</v>
      </c>
      <c r="F22" s="36" t="s">
        <v>3</v>
      </c>
      <c r="G22" s="1"/>
    </row>
    <row r="23" spans="1:7" x14ac:dyDescent="0.25">
      <c r="A23" s="1"/>
      <c r="B23" s="41" t="s">
        <v>85</v>
      </c>
      <c r="C23" s="39"/>
      <c r="D23" s="39"/>
      <c r="E23" s="9">
        <f>SUM(E21:E22)</f>
        <v>0</v>
      </c>
      <c r="F23" s="34" t="s">
        <v>3</v>
      </c>
      <c r="G23" s="1"/>
    </row>
    <row r="24" spans="1:7" x14ac:dyDescent="0.25">
      <c r="A24" s="1"/>
      <c r="B24" s="40" t="s">
        <v>10</v>
      </c>
      <c r="C24" s="40"/>
      <c r="D24" s="40"/>
      <c r="E24" s="40"/>
      <c r="F24" s="40"/>
      <c r="G24" s="1"/>
    </row>
    <row r="25" spans="1:7" ht="15" customHeight="1" x14ac:dyDescent="0.25">
      <c r="A25" s="1"/>
      <c r="B25" s="34" t="s">
        <v>18</v>
      </c>
      <c r="C25" s="34"/>
      <c r="D25" s="34"/>
      <c r="E25" s="9">
        <f>'Fane 11. Hist. over-underdæk.'!G14</f>
        <v>-707026.52906481456</v>
      </c>
      <c r="F25" s="34" t="s">
        <v>3</v>
      </c>
      <c r="G25" s="1"/>
    </row>
    <row r="26" spans="1:7" ht="15" customHeight="1" x14ac:dyDescent="0.25">
      <c r="A26" s="1"/>
      <c r="B26" s="40" t="s">
        <v>147</v>
      </c>
      <c r="C26" s="40"/>
      <c r="D26" s="40"/>
      <c r="E26" s="40"/>
      <c r="F26" s="40"/>
      <c r="G26" s="1"/>
    </row>
    <row r="27" spans="1:7" x14ac:dyDescent="0.25">
      <c r="A27" s="1"/>
      <c r="B27" s="34" t="s">
        <v>148</v>
      </c>
      <c r="C27" s="34"/>
      <c r="D27" s="34"/>
      <c r="E27" s="9">
        <f>'Fane 6. Korrektioner'!E10</f>
        <v>0</v>
      </c>
      <c r="F27" s="34" t="s">
        <v>3</v>
      </c>
      <c r="G27" s="1"/>
    </row>
    <row r="28" spans="1:7" x14ac:dyDescent="0.25">
      <c r="A28" s="1"/>
      <c r="B28" s="40" t="s">
        <v>36</v>
      </c>
      <c r="C28" s="40"/>
      <c r="D28" s="40"/>
      <c r="E28" s="10">
        <f>SUM(E17,E19,E23,E25,E27)</f>
        <v>8783798.5964991227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IlQrY/Jqs46/XS6ND+xALmIqQHpTQeODmqcjSV7sOPx2Go0qUmSwm5MPZZHdcSLkSdkE6efK1nAtb2wubVVzCg==" saltValue="pw6e2txXa3YfZDh+uneKe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73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ht="15" customHeight="1" x14ac:dyDescent="0.25">
      <c r="A9" s="1"/>
      <c r="B9" s="36" t="s">
        <v>37</v>
      </c>
      <c r="C9" s="36"/>
      <c r="D9" s="36"/>
      <c r="E9" s="7">
        <f>'Fane 2.1. Økonomisk ramme 2020'!E17</f>
        <v>5289285.8040750874</v>
      </c>
      <c r="F9" s="36" t="s">
        <v>3</v>
      </c>
      <c r="G9" s="1"/>
    </row>
    <row r="10" spans="1:7" ht="15" customHeight="1" x14ac:dyDescent="0.25">
      <c r="A10" s="1"/>
      <c r="B10" s="36" t="s">
        <v>164</v>
      </c>
      <c r="C10" s="36"/>
      <c r="D10" s="36"/>
      <c r="E10" s="7">
        <v>37018.414684268442</v>
      </c>
      <c r="F10" s="36" t="s">
        <v>3</v>
      </c>
      <c r="G10" s="1"/>
    </row>
    <row r="11" spans="1:7" ht="15" customHeight="1" x14ac:dyDescent="0.25">
      <c r="A11" s="1"/>
      <c r="B11" s="31" t="s">
        <v>144</v>
      </c>
      <c r="C11" s="36"/>
      <c r="D11" s="36"/>
      <c r="E11" s="7">
        <f>-('Fane 10. Bortfald'!C18+'Fane 10. Bortfald'!E18)</f>
        <v>0</v>
      </c>
      <c r="F11" s="36" t="s">
        <v>3</v>
      </c>
      <c r="G11" s="1"/>
    </row>
    <row r="12" spans="1:7" ht="15" customHeight="1" x14ac:dyDescent="0.25">
      <c r="A12" s="1"/>
      <c r="B12" s="37" t="s">
        <v>26</v>
      </c>
      <c r="C12" s="36"/>
      <c r="D12" s="36"/>
      <c r="E12" s="8">
        <f>SUM(E9:E11)*'Fane 12. Nøgletal'!C12</f>
        <v>104928.1931095593</v>
      </c>
      <c r="F12" s="36" t="s">
        <v>3</v>
      </c>
      <c r="G12" s="1"/>
    </row>
    <row r="13" spans="1:7" ht="15" customHeight="1" x14ac:dyDescent="0.25">
      <c r="A13" s="1"/>
      <c r="B13" s="37" t="s">
        <v>115</v>
      </c>
      <c r="C13" s="36"/>
      <c r="D13" s="36"/>
      <c r="E13" s="8">
        <f>-SUM(E9:E12)*'Fane 12. Nøgletal'!C17</f>
        <v>-92330.951001771566</v>
      </c>
      <c r="F13" s="36" t="s">
        <v>3</v>
      </c>
      <c r="G13" s="1"/>
    </row>
    <row r="14" spans="1:7" ht="15" customHeight="1" x14ac:dyDescent="0.25">
      <c r="A14" s="1"/>
      <c r="B14" s="39" t="s">
        <v>28</v>
      </c>
      <c r="C14" s="39"/>
      <c r="D14" s="39"/>
      <c r="E14" s="9">
        <f>SUM(E9:E13)</f>
        <v>5338901.4608671432</v>
      </c>
      <c r="F14" s="34" t="s">
        <v>3</v>
      </c>
      <c r="G14" s="1"/>
    </row>
    <row r="15" spans="1:7" x14ac:dyDescent="0.25">
      <c r="A15" s="1"/>
      <c r="B15" s="40" t="s">
        <v>16</v>
      </c>
      <c r="C15" s="40"/>
      <c r="D15" s="40"/>
      <c r="E15" s="40"/>
      <c r="F15" s="40"/>
      <c r="G15" s="1"/>
    </row>
    <row r="16" spans="1:7" ht="15" customHeight="1" x14ac:dyDescent="0.25">
      <c r="A16" s="1"/>
      <c r="B16" s="34" t="s">
        <v>16</v>
      </c>
      <c r="C16" s="34"/>
      <c r="D16" s="34"/>
      <c r="E16" s="9">
        <f>'Fane 4. Ikke-påvirkelige omk.'!C15*(1+'Fane 12. Nøgletal'!C12)</f>
        <v>4284309.6461221799</v>
      </c>
      <c r="F16" s="34" t="s">
        <v>3</v>
      </c>
      <c r="G16" s="1"/>
    </row>
    <row r="17" spans="1:7" ht="15" customHeight="1" x14ac:dyDescent="0.25">
      <c r="A17" s="1"/>
      <c r="B17" s="40" t="s">
        <v>84</v>
      </c>
      <c r="C17" s="40"/>
      <c r="D17" s="40"/>
      <c r="E17" s="40"/>
      <c r="F17" s="40"/>
      <c r="G17" s="1"/>
    </row>
    <row r="18" spans="1:7" ht="15" customHeight="1" x14ac:dyDescent="0.25">
      <c r="A18" s="1"/>
      <c r="B18" s="31" t="s">
        <v>80</v>
      </c>
      <c r="C18" s="36"/>
      <c r="D18" s="36"/>
      <c r="E18" s="8">
        <f>'Fane 8.2. Engangstillæg'!C20</f>
        <v>0</v>
      </c>
      <c r="F18" s="36" t="s">
        <v>3</v>
      </c>
      <c r="G18" s="1"/>
    </row>
    <row r="19" spans="1:7" ht="15" customHeight="1" x14ac:dyDescent="0.25">
      <c r="A19" s="1"/>
      <c r="B19" s="31" t="s">
        <v>81</v>
      </c>
      <c r="C19" s="36"/>
      <c r="D19" s="36"/>
      <c r="E19" s="8">
        <f>'Fane 8.2. Engangstillæg'!E20</f>
        <v>0</v>
      </c>
      <c r="F19" s="36" t="s">
        <v>3</v>
      </c>
      <c r="G19" s="1"/>
    </row>
    <row r="20" spans="1:7" ht="15" customHeight="1" x14ac:dyDescent="0.25">
      <c r="A20" s="1"/>
      <c r="B20" s="41" t="s">
        <v>85</v>
      </c>
      <c r="C20" s="39"/>
      <c r="D20" s="39"/>
      <c r="E20" s="9">
        <f>SUM(E18:E19)</f>
        <v>0</v>
      </c>
      <c r="F20" s="34" t="s">
        <v>3</v>
      </c>
      <c r="G20" s="1"/>
    </row>
    <row r="21" spans="1:7" x14ac:dyDescent="0.25">
      <c r="A21" s="1"/>
      <c r="B21" s="40" t="s">
        <v>95</v>
      </c>
      <c r="C21" s="40"/>
      <c r="D21" s="40"/>
      <c r="E21" s="40"/>
      <c r="F21" s="40"/>
      <c r="G21" s="1"/>
    </row>
    <row r="22" spans="1:7" ht="15" customHeight="1" x14ac:dyDescent="0.25">
      <c r="A22" s="1"/>
      <c r="B22" s="34" t="s">
        <v>131</v>
      </c>
      <c r="C22" s="34"/>
      <c r="D22" s="34"/>
      <c r="E22" s="9">
        <f>'Fane 5. Kontrol af ØR2018'!E35</f>
        <v>-219649.28143000306</v>
      </c>
      <c r="F22" s="34" t="s">
        <v>3</v>
      </c>
      <c r="G22" s="1"/>
    </row>
    <row r="23" spans="1:7" x14ac:dyDescent="0.25">
      <c r="A23" s="1"/>
      <c r="B23" s="40" t="s">
        <v>39</v>
      </c>
      <c r="C23" s="40"/>
      <c r="D23" s="40"/>
      <c r="E23" s="10">
        <f>SUM(E14,E16,E20,E22)</f>
        <v>9403561.8255593218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XcKvwmbjXoa1EGctvQpY1rOvzrSld0GJZ2G1Tib5x9VTZJT9OVq6V8+mfK3acAuQvwb2MeoGfEKU9vZInd2Mg==" saltValue="S4QKL9lZ2bhxzulpCqZTX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37</v>
      </c>
      <c r="C8" s="36"/>
      <c r="D8" s="36"/>
      <c r="E8" s="7">
        <f>'Fane 2.2. Økonomisk ramme 2021'!E14</f>
        <v>5338901.4608671432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Bortfald'!C24+'Fane 10. Bortfald'!E24)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SUM(E8:E9)*'Fane 12. Nøgletal'!C12</f>
        <v>105176.35877908272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-92549.322933985852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5351528.4967122404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omk.'!C15*(1+'Fane 12. Nøgletal'!C12)^2</f>
        <v>4368710.5461507877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Engangstillæg'!C27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Engangstillæg'!E27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2.2. Økonomisk ramme 2021'!E22</f>
        <v>-219649.28143000306</v>
      </c>
      <c r="F20" s="34" t="s">
        <v>3</v>
      </c>
      <c r="G20" s="1"/>
    </row>
    <row r="21" spans="1:7" x14ac:dyDescent="0.25">
      <c r="A21" s="1"/>
      <c r="B21" s="40" t="s">
        <v>40</v>
      </c>
      <c r="C21" s="40"/>
      <c r="D21" s="40"/>
      <c r="E21" s="10">
        <f>SUM(E12,E14,E18,E20)</f>
        <v>9500589.7614330258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Z8S703svB8EJKZrE18jYXMBRZU4eo0qNT6j5NqsTSSx9hfYXnI8z/7x83ZjYZnt8lv4x0jPXGHvoZQxXeri6cQ==" saltValue="AkWpmbJxxkg6A2OTIKAeq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145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38</v>
      </c>
      <c r="C8" s="36"/>
      <c r="D8" s="36"/>
      <c r="E8" s="7">
        <f>'Fane 2.3. Økonomisk ramme 2022'!E12</f>
        <v>5351528.4967122404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Bortfald'!C30+'Fane 10. Bortfald'!E30)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E8*'Fane 12. Nøgletal'!C12</f>
        <v>105425.11138523112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-92768.21133765702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5364185.3967598146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omk.'!C15*(1+'Fane 12. Nøgletal'!C12)^3</f>
        <v>4454774.1439099582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Engangstillæg'!C34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Engangstillæg'!E34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2.3. Økonomisk ramme 2022'!E20</f>
        <v>-219649.28143000306</v>
      </c>
      <c r="F20" s="34" t="s">
        <v>3</v>
      </c>
      <c r="G20" s="1"/>
    </row>
    <row r="21" spans="1:7" x14ac:dyDescent="0.25">
      <c r="A21" s="1"/>
      <c r="B21" s="40" t="s">
        <v>89</v>
      </c>
      <c r="C21" s="40"/>
      <c r="D21" s="40"/>
      <c r="E21" s="10">
        <f>SUM(E12,E14,E18,E20)</f>
        <v>9599310.2592397705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BfNd40lPJ+LFntweMENg2iLwiRLuH1P2CvEV80alkRAlOdxSZu7p69e7OUvK0gmhJQDpWvDKf7QjlMdYSv4N1w==" saltValue="Q+oaRMZytwy4CwTjQfb/M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138</v>
      </c>
      <c r="C3" s="69"/>
      <c r="D3" s="69"/>
      <c r="E3" s="69"/>
      <c r="F3" s="69"/>
      <c r="G3" s="1"/>
    </row>
    <row r="4" spans="1:7" ht="29.2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72</v>
      </c>
      <c r="C8" s="40"/>
      <c r="D8" s="40"/>
      <c r="E8" s="40"/>
      <c r="F8" s="40"/>
      <c r="G8" s="1"/>
    </row>
    <row r="9" spans="1:7" x14ac:dyDescent="0.25">
      <c r="A9" s="1"/>
      <c r="B9" s="70" t="s">
        <v>70</v>
      </c>
      <c r="C9" s="70"/>
      <c r="D9" s="70"/>
      <c r="E9" s="7">
        <v>6024162.8038321547</v>
      </c>
      <c r="F9" s="36" t="s">
        <v>3</v>
      </c>
      <c r="G9" s="1"/>
    </row>
    <row r="10" spans="1:7" x14ac:dyDescent="0.25">
      <c r="A10" s="1"/>
      <c r="B10" s="72" t="s">
        <v>140</v>
      </c>
      <c r="C10" s="72"/>
      <c r="D10" s="72"/>
      <c r="E10" s="7">
        <v>0</v>
      </c>
      <c r="F10" s="36" t="s">
        <v>3</v>
      </c>
      <c r="G10" s="1"/>
    </row>
    <row r="11" spans="1:7" x14ac:dyDescent="0.25">
      <c r="A11" s="1"/>
      <c r="B11" s="71" t="s">
        <v>141</v>
      </c>
      <c r="C11" s="71"/>
      <c r="D11" s="71"/>
      <c r="E11" s="7">
        <v>0</v>
      </c>
      <c r="F11" s="36" t="s">
        <v>3</v>
      </c>
      <c r="G11" s="1"/>
    </row>
    <row r="12" spans="1:7" x14ac:dyDescent="0.25">
      <c r="A12" s="1"/>
      <c r="B12" s="71" t="s">
        <v>142</v>
      </c>
      <c r="C12" s="71"/>
      <c r="D12" s="71"/>
      <c r="E12" s="8">
        <v>0</v>
      </c>
      <c r="F12" s="36" t="s">
        <v>3</v>
      </c>
      <c r="G12" s="1"/>
    </row>
    <row r="13" spans="1:7" x14ac:dyDescent="0.25">
      <c r="A13" s="1"/>
      <c r="B13" s="71" t="s">
        <v>26</v>
      </c>
      <c r="C13" s="71"/>
      <c r="D13" s="71"/>
      <c r="E13" s="8">
        <f>(SUM(E9:E9)-SUM(E10:E10))*'Fane 12. Nøgletal'!C9+SUM(E10:E10)*'Fane 12. Nøgletal'!C10+SUM(E11:E12)*'Fane 12. Nøgletal'!C11</f>
        <v>76506.867608668355</v>
      </c>
      <c r="F13" s="36" t="s">
        <v>3</v>
      </c>
      <c r="G13" s="1"/>
    </row>
    <row r="14" spans="1:7" x14ac:dyDescent="0.25">
      <c r="A14" s="1"/>
      <c r="B14" s="71" t="s">
        <v>115</v>
      </c>
      <c r="C14" s="71"/>
      <c r="D14" s="71"/>
      <c r="E14" s="8">
        <f>-SUM(E9:E9,E11:E13)*'Fane 12. Nøgletal'!C17</f>
        <v>-103711.38441449399</v>
      </c>
      <c r="F14" s="36" t="s">
        <v>3</v>
      </c>
      <c r="G14" s="1"/>
    </row>
    <row r="15" spans="1:7" x14ac:dyDescent="0.25">
      <c r="A15" s="1"/>
      <c r="B15" s="73" t="s">
        <v>28</v>
      </c>
      <c r="C15" s="73"/>
      <c r="D15" s="73"/>
      <c r="E15" s="9">
        <f>SUM(E9,E11:E14)</f>
        <v>5996958.287026329</v>
      </c>
      <c r="F15" s="34" t="s">
        <v>3</v>
      </c>
      <c r="G15" s="1"/>
    </row>
    <row r="16" spans="1:7" x14ac:dyDescent="0.25">
      <c r="A16" s="1"/>
      <c r="B16" s="74" t="s">
        <v>16</v>
      </c>
      <c r="C16" s="74"/>
      <c r="D16" s="74"/>
      <c r="E16" s="40"/>
      <c r="F16" s="40"/>
      <c r="G16" s="1"/>
    </row>
    <row r="17" spans="1:7" x14ac:dyDescent="0.25">
      <c r="A17" s="1"/>
      <c r="B17" s="68" t="s">
        <v>16</v>
      </c>
      <c r="C17" s="68"/>
      <c r="D17" s="68"/>
      <c r="E17" s="9">
        <v>3254569.3676681193</v>
      </c>
      <c r="F17" s="34" t="s">
        <v>3</v>
      </c>
      <c r="G17" s="1"/>
    </row>
    <row r="18" spans="1:7" x14ac:dyDescent="0.25">
      <c r="A18" s="1"/>
      <c r="B18" s="40" t="s">
        <v>71</v>
      </c>
      <c r="C18" s="40"/>
      <c r="D18" s="40"/>
      <c r="E18" s="40"/>
      <c r="F18" s="40"/>
      <c r="G18" s="1"/>
    </row>
    <row r="19" spans="1:7" ht="27" customHeight="1" x14ac:dyDescent="0.25">
      <c r="A19" s="1"/>
      <c r="B19" s="67" t="s">
        <v>74</v>
      </c>
      <c r="C19" s="67"/>
      <c r="D19" s="67"/>
      <c r="E19" s="9">
        <v>17045.751604748515</v>
      </c>
      <c r="F19" s="34" t="s">
        <v>3</v>
      </c>
      <c r="G19" s="1"/>
    </row>
    <row r="20" spans="1:7" x14ac:dyDescent="0.25">
      <c r="A20" s="1"/>
      <c r="B20" s="40" t="s">
        <v>10</v>
      </c>
      <c r="C20" s="40"/>
      <c r="D20" s="40"/>
      <c r="E20" s="40"/>
      <c r="F20" s="40"/>
      <c r="G20" s="1"/>
    </row>
    <row r="21" spans="1:7" x14ac:dyDescent="0.25">
      <c r="A21" s="1"/>
      <c r="B21" s="68" t="s">
        <v>18</v>
      </c>
      <c r="C21" s="68"/>
      <c r="D21" s="68"/>
      <c r="E21" s="9">
        <v>-707026</v>
      </c>
      <c r="F21" s="34" t="s">
        <v>3</v>
      </c>
      <c r="G21" s="1"/>
    </row>
    <row r="22" spans="1:7" x14ac:dyDescent="0.25">
      <c r="A22" s="1"/>
      <c r="B22" s="40" t="s">
        <v>23</v>
      </c>
      <c r="C22" s="40"/>
      <c r="D22" s="40"/>
      <c r="E22" s="10">
        <f>SUM(E21,E19,E17,E15)</f>
        <v>8561547.4062991962</v>
      </c>
      <c r="F22" s="11" t="s">
        <v>3</v>
      </c>
      <c r="G22" s="1"/>
    </row>
    <row r="23" spans="1:7" ht="28.5" customHeight="1" x14ac:dyDescent="0.25">
      <c r="A23" s="1"/>
      <c r="B23" s="66" t="s">
        <v>118</v>
      </c>
      <c r="C23" s="66"/>
      <c r="D23" s="66"/>
      <c r="E23" s="66"/>
      <c r="F23" s="66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6Rt6ylYizWBzo0wYJI/qt92T9Y0m19tboJZ/NtBT1hC8JHv8OI8xxjP9WMsIN5B09KXOCz9DSb3+li23DRByFQ==" saltValue="r8df0QjcUOCCeh8ZrWsZiQ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4" t="s">
        <v>110</v>
      </c>
      <c r="C3" s="64"/>
      <c r="D3" s="64"/>
      <c r="E3" s="1"/>
      <c r="F3" s="1"/>
    </row>
    <row r="4" spans="1:6" ht="15" customHeight="1" x14ac:dyDescent="0.25">
      <c r="A4" s="1"/>
      <c r="B4" s="64"/>
      <c r="C4" s="64"/>
      <c r="D4" s="6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5" t="s">
        <v>58</v>
      </c>
      <c r="C8" s="76"/>
      <c r="D8" s="77"/>
      <c r="E8" s="1"/>
      <c r="F8" s="1"/>
    </row>
    <row r="9" spans="1:6" ht="15" customHeight="1" x14ac:dyDescent="0.25">
      <c r="A9" s="1"/>
      <c r="B9" s="19" t="s">
        <v>43</v>
      </c>
      <c r="C9" s="34" t="s">
        <v>59</v>
      </c>
      <c r="D9" s="34"/>
      <c r="E9" s="1"/>
      <c r="F9" s="1"/>
    </row>
    <row r="10" spans="1:6" x14ac:dyDescent="0.25">
      <c r="A10" s="1"/>
      <c r="B10" s="30" t="s">
        <v>158</v>
      </c>
      <c r="C10" s="8">
        <v>3300806</v>
      </c>
      <c r="D10" s="12" t="s">
        <v>3</v>
      </c>
      <c r="E10" s="1"/>
      <c r="F10" s="1"/>
    </row>
    <row r="11" spans="1:6" x14ac:dyDescent="0.25">
      <c r="A11" s="1"/>
      <c r="B11" s="30" t="s">
        <v>159</v>
      </c>
      <c r="C11" s="8">
        <v>6503</v>
      </c>
      <c r="D11" s="12" t="s">
        <v>3</v>
      </c>
      <c r="E11" s="1"/>
      <c r="F11" s="1"/>
    </row>
    <row r="12" spans="1:6" x14ac:dyDescent="0.25">
      <c r="A12" s="1"/>
      <c r="B12" s="30" t="s">
        <v>160</v>
      </c>
      <c r="C12" s="8">
        <v>8004</v>
      </c>
      <c r="D12" s="12" t="s">
        <v>3</v>
      </c>
      <c r="E12" s="1"/>
      <c r="F12" s="1"/>
    </row>
    <row r="13" spans="1:6" ht="26.25" x14ac:dyDescent="0.25">
      <c r="A13" s="1"/>
      <c r="B13" s="97" t="s">
        <v>161</v>
      </c>
      <c r="C13" s="8">
        <v>725452</v>
      </c>
      <c r="D13" s="12" t="s">
        <v>3</v>
      </c>
      <c r="E13" s="1"/>
      <c r="F13" s="1"/>
    </row>
    <row r="14" spans="1:6" x14ac:dyDescent="0.25">
      <c r="A14" s="1"/>
      <c r="B14" s="44" t="s">
        <v>60</v>
      </c>
      <c r="C14" s="10">
        <f>SUM(C10:C13)</f>
        <v>4040765</v>
      </c>
      <c r="D14" s="11" t="s">
        <v>3</v>
      </c>
      <c r="E14" s="1"/>
      <c r="F14" s="1"/>
    </row>
    <row r="15" spans="1:6" x14ac:dyDescent="0.25">
      <c r="A15" s="1"/>
      <c r="B15" s="44" t="s">
        <v>61</v>
      </c>
      <c r="C15" s="10">
        <f>C14*(1+'Fane 12. Nøgletal'!C12)^2</f>
        <v>4201539.3214888498</v>
      </c>
      <c r="D15" s="11" t="s">
        <v>3</v>
      </c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4"/>
      <c r="C17" s="13"/>
      <c r="D17" s="13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wDKhN0fDfVW11YWg8EB7j3thVBEh3yQjqJz573e658vG+ol71aKvNLp51qkkBt99Tg3lw8cTFZyXuO04RwiMeQ==" saltValue="PfXeMbnG+YzXJuAFWLJPs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119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ht="15" customHeight="1" x14ac:dyDescent="0.25">
      <c r="A5" s="1"/>
      <c r="B5" s="35"/>
      <c r="C5" s="35"/>
      <c r="D5" s="35"/>
      <c r="E5" s="35"/>
      <c r="F5" s="35"/>
      <c r="G5" s="1"/>
    </row>
    <row r="6" spans="1:7" ht="15" customHeight="1" x14ac:dyDescent="0.25">
      <c r="A6" s="1"/>
      <c r="B6" s="78" t="s">
        <v>47</v>
      </c>
      <c r="C6" s="78"/>
      <c r="D6" s="78"/>
      <c r="E6" s="78"/>
      <c r="F6" s="78"/>
      <c r="G6" s="1"/>
    </row>
    <row r="7" spans="1:7" ht="15" customHeight="1" x14ac:dyDescent="0.25">
      <c r="A7" s="1"/>
      <c r="B7" s="79" t="s">
        <v>45</v>
      </c>
      <c r="C7" s="79"/>
      <c r="D7" s="79"/>
      <c r="E7" s="8">
        <v>-86728.026666666672</v>
      </c>
      <c r="F7" s="12" t="s">
        <v>3</v>
      </c>
      <c r="G7" s="1"/>
    </row>
    <row r="8" spans="1:7" ht="15" customHeight="1" x14ac:dyDescent="0.25">
      <c r="A8" s="1"/>
      <c r="B8" s="79" t="s">
        <v>46</v>
      </c>
      <c r="C8" s="79"/>
      <c r="D8" s="79"/>
      <c r="E8" s="8">
        <v>-162000.52345216647</v>
      </c>
      <c r="F8" s="12" t="s">
        <v>3</v>
      </c>
      <c r="G8" s="1"/>
    </row>
    <row r="9" spans="1:7" ht="15" customHeight="1" x14ac:dyDescent="0.25">
      <c r="A9" s="1"/>
      <c r="B9" s="81" t="s">
        <v>129</v>
      </c>
      <c r="C9" s="82"/>
      <c r="D9" s="83"/>
      <c r="E9" s="9">
        <f>SUM(E7:E8)</f>
        <v>-248728.55011883314</v>
      </c>
      <c r="F9" s="15" t="s">
        <v>3</v>
      </c>
      <c r="G9" s="1"/>
    </row>
    <row r="10" spans="1:7" ht="15" customHeight="1" x14ac:dyDescent="0.25">
      <c r="A10" s="1"/>
      <c r="B10" s="75"/>
      <c r="C10" s="76"/>
      <c r="D10" s="76"/>
      <c r="E10" s="76"/>
      <c r="F10" s="77"/>
      <c r="G10" s="1"/>
    </row>
    <row r="11" spans="1:7" ht="27" customHeight="1" x14ac:dyDescent="0.25">
      <c r="A11" s="1"/>
      <c r="B11" s="66" t="s">
        <v>113</v>
      </c>
      <c r="C11" s="66"/>
      <c r="D11" s="66"/>
      <c r="E11" s="66"/>
      <c r="F11" s="6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99</v>
      </c>
      <c r="C14" s="78"/>
      <c r="D14" s="78"/>
      <c r="E14" s="78"/>
      <c r="F14" s="78"/>
      <c r="G14" s="1"/>
    </row>
    <row r="15" spans="1:7" x14ac:dyDescent="0.25">
      <c r="A15" s="1"/>
      <c r="B15" s="79" t="s">
        <v>100</v>
      </c>
      <c r="C15" s="79"/>
      <c r="D15" s="79"/>
      <c r="E15" s="8">
        <v>8905296.4266666658</v>
      </c>
      <c r="F15" s="12" t="s">
        <v>3</v>
      </c>
      <c r="G15" s="1"/>
    </row>
    <row r="16" spans="1:7" x14ac:dyDescent="0.25">
      <c r="A16" s="1"/>
      <c r="B16" s="79" t="s">
        <v>101</v>
      </c>
      <c r="C16" s="79"/>
      <c r="D16" s="79"/>
      <c r="E16" s="8">
        <v>8965837</v>
      </c>
      <c r="F16" s="12" t="s">
        <v>3</v>
      </c>
      <c r="G16" s="1"/>
    </row>
    <row r="17" spans="1:7" x14ac:dyDescent="0.25">
      <c r="A17" s="1"/>
      <c r="B17" s="79" t="s">
        <v>44</v>
      </c>
      <c r="C17" s="79"/>
      <c r="D17" s="79"/>
      <c r="E17" s="8">
        <v>0</v>
      </c>
      <c r="F17" s="12" t="s">
        <v>3</v>
      </c>
      <c r="G17" s="1"/>
    </row>
    <row r="18" spans="1:7" x14ac:dyDescent="0.25">
      <c r="A18" s="1"/>
      <c r="B18" s="80" t="s">
        <v>130</v>
      </c>
      <c r="C18" s="80"/>
      <c r="D18" s="80"/>
      <c r="E18" s="9">
        <f>E15-(E16-E17)</f>
        <v>-60540.573333334178</v>
      </c>
      <c r="F18" s="15" t="s">
        <v>3</v>
      </c>
      <c r="G18" s="1"/>
    </row>
    <row r="19" spans="1:7" x14ac:dyDescent="0.25">
      <c r="A19" s="1"/>
      <c r="B19" s="84"/>
      <c r="C19" s="85"/>
      <c r="D19" s="85"/>
      <c r="E19" s="85"/>
      <c r="F19" s="86"/>
      <c r="G19" s="1"/>
    </row>
    <row r="20" spans="1:7" ht="28.5" customHeight="1" x14ac:dyDescent="0.25">
      <c r="A20" s="1"/>
      <c r="B20" s="66" t="s">
        <v>112</v>
      </c>
      <c r="C20" s="66"/>
      <c r="D20" s="66"/>
      <c r="E20" s="66"/>
      <c r="F20" s="6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78" t="s">
        <v>66</v>
      </c>
      <c r="C23" s="78"/>
      <c r="D23" s="78"/>
      <c r="E23" s="78"/>
      <c r="F23" s="78"/>
      <c r="G23" s="1"/>
    </row>
    <row r="24" spans="1:7" x14ac:dyDescent="0.25">
      <c r="A24" s="1"/>
      <c r="B24" s="79" t="s">
        <v>67</v>
      </c>
      <c r="C24" s="79"/>
      <c r="D24" s="79"/>
      <c r="E24" s="8">
        <v>8690898.997732155</v>
      </c>
      <c r="F24" s="12" t="s">
        <v>3</v>
      </c>
      <c r="G24" s="1"/>
    </row>
    <row r="25" spans="1:7" x14ac:dyDescent="0.25">
      <c r="A25" s="1"/>
      <c r="B25" s="79" t="s">
        <v>68</v>
      </c>
      <c r="C25" s="79"/>
      <c r="D25" s="79"/>
      <c r="E25" s="8">
        <v>9260227</v>
      </c>
      <c r="F25" s="12" t="s">
        <v>3</v>
      </c>
      <c r="G25" s="1"/>
    </row>
    <row r="26" spans="1:7" x14ac:dyDescent="0.25">
      <c r="A26" s="1"/>
      <c r="B26" s="79" t="s">
        <v>44</v>
      </c>
      <c r="C26" s="79"/>
      <c r="D26" s="79"/>
      <c r="E26" s="8">
        <v>0</v>
      </c>
      <c r="F26" s="12" t="s">
        <v>3</v>
      </c>
      <c r="G26" s="1"/>
    </row>
    <row r="27" spans="1:7" x14ac:dyDescent="0.25">
      <c r="A27" s="1"/>
      <c r="B27" s="80" t="s">
        <v>130</v>
      </c>
      <c r="C27" s="80"/>
      <c r="D27" s="80"/>
      <c r="E27" s="9">
        <f>E24-(E25-E26)</f>
        <v>-569328.00226784497</v>
      </c>
      <c r="F27" s="15" t="s">
        <v>3</v>
      </c>
      <c r="G27" s="1"/>
    </row>
    <row r="28" spans="1:7" x14ac:dyDescent="0.25">
      <c r="A28" s="1"/>
      <c r="B28" s="75"/>
      <c r="C28" s="76"/>
      <c r="D28" s="76"/>
      <c r="E28" s="76"/>
      <c r="F28" s="77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78" t="s">
        <v>114</v>
      </c>
      <c r="C31" s="78"/>
      <c r="D31" s="78"/>
      <c r="E31" s="78"/>
      <c r="F31" s="78"/>
      <c r="G31" s="1"/>
    </row>
    <row r="32" spans="1:7" x14ac:dyDescent="0.25">
      <c r="A32" s="1"/>
      <c r="B32" s="72" t="s">
        <v>47</v>
      </c>
      <c r="C32" s="72"/>
      <c r="D32" s="72"/>
      <c r="E32" s="8">
        <f>E9</f>
        <v>-248728.55011883314</v>
      </c>
      <c r="F32" s="12" t="s">
        <v>3</v>
      </c>
      <c r="G32" s="1"/>
    </row>
    <row r="33" spans="1:7" x14ac:dyDescent="0.25">
      <c r="A33" s="1"/>
      <c r="B33" s="72" t="s">
        <v>128</v>
      </c>
      <c r="C33" s="72"/>
      <c r="D33" s="72"/>
      <c r="E33" s="8">
        <f>IF(E18+E27&lt;0,E18+E27,0)</f>
        <v>-629868.57560117915</v>
      </c>
      <c r="F33" s="12" t="s">
        <v>3</v>
      </c>
      <c r="G33" s="1"/>
    </row>
    <row r="34" spans="1:7" x14ac:dyDescent="0.25">
      <c r="A34" s="1"/>
      <c r="B34" s="72" t="s">
        <v>122</v>
      </c>
      <c r="C34" s="72"/>
      <c r="D34" s="72"/>
      <c r="E34" s="8">
        <v>4</v>
      </c>
      <c r="F34" s="12" t="s">
        <v>27</v>
      </c>
      <c r="G34" s="1"/>
    </row>
    <row r="35" spans="1:7" x14ac:dyDescent="0.25">
      <c r="A35" s="1"/>
      <c r="B35" s="80" t="s">
        <v>149</v>
      </c>
      <c r="C35" s="80"/>
      <c r="D35" s="80"/>
      <c r="E35" s="9">
        <f>SUM(E32:E33)/E34</f>
        <v>-219649.28143000306</v>
      </c>
      <c r="F35" s="15" t="s">
        <v>3</v>
      </c>
      <c r="G35" s="1"/>
    </row>
    <row r="36" spans="1:7" x14ac:dyDescent="0.25">
      <c r="A36" s="1"/>
      <c r="B36" s="78"/>
      <c r="C36" s="78"/>
      <c r="D36" s="78"/>
      <c r="E36" s="78"/>
      <c r="F36" s="78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gLzeUrXuM+NMBJHhxGIRnEqYHXnoCJOB26sa6W+6rhyeJUSjmMrv0fo5NxNyqAW3264un0jxgp7dpkfq1NqiUg==" saltValue="vzAyK9mW80AfCYioLl/8pA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150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78" t="s">
        <v>94</v>
      </c>
      <c r="C8" s="78"/>
      <c r="D8" s="78"/>
      <c r="E8" s="78"/>
      <c r="F8" s="78"/>
      <c r="G8" s="1"/>
    </row>
    <row r="9" spans="1:7" ht="28.5" customHeight="1" x14ac:dyDescent="0.25">
      <c r="A9" s="1"/>
      <c r="B9" s="67" t="s">
        <v>98</v>
      </c>
      <c r="C9" s="67"/>
      <c r="D9" s="67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4" t="s">
        <v>3</v>
      </c>
      <c r="G9" s="1"/>
    </row>
    <row r="10" spans="1:7" x14ac:dyDescent="0.25">
      <c r="A10" s="1"/>
      <c r="B10" s="40" t="s">
        <v>109</v>
      </c>
      <c r="C10" s="40"/>
      <c r="D10" s="40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e8RVbjZx7rr8fPbd7U6ZY46TjIYYQwKDCznyDUWuylW6Dj6leob8fSth85EhZ0nrL1Bgf1jddZBG/p6kuzUkNQ==" saltValue="hSeFlknfx7eYDR/K4vQJ5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2019-08-22T09:54:30Z</dcterms:modified>
</cp:coreProperties>
</file>