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Midtfyns Vandforsyning a.m.b.a. (V13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22" i="39" l="1"/>
  <c r="C20" i="15" s="1"/>
  <c r="C38" i="39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1" i="37" s="1"/>
  <c r="C12" i="37" s="1"/>
  <c r="C10" i="2" s="1"/>
  <c r="G11" i="11"/>
  <c r="E11" i="21" l="1"/>
  <c r="C11" i="21"/>
  <c r="E11" i="29"/>
  <c r="C11" i="29"/>
  <c r="C14" i="19"/>
  <c r="C15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<sst xmlns="http://schemas.openxmlformats.org/spreadsheetml/2006/main" count="591" uniqueCount="243">
  <si>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</si>
  <si>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</si>
  <si>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</si>
  <si>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</si>
  <si>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</si>
  <si>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</si>
  <si>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</si>
  <si>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</si>
  <si>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</si>
  <si>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</si>
  <si>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</si>
  <si>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</si>
  <si>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</si>
  <si>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</si>
  <si>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</si>
  <si>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</si>
  <si>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</si>
  <si>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</si>
  <si>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</si>
  <si>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</si>
  <si>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</si>
  <si>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</si>
  <si>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</si>
  <si>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</si>
  <si>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</si>
  <si>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</si>
  <si>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</si>
  <si>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</si>
  <si>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</si>
  <si>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</si>
  <si>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</si>
  <si>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</si>
  <si>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</si>
  <si>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</si>
  <si>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</si>
  <si>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</si>
  <si>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</si>
  <si>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</si>
  <si>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</si>
  <si>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</si>
  <si>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</si>
  <si>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</si>
  <si>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</si>
  <si>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</si>
  <si>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</si>
  <si>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</si>
  <si>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</si>
  <si>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</si>
  <si>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</si>
  <si>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</si>
  <si>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</si>
  <si>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</si>
  <si>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</si>
  <si>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</si>
  <si>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</si>
  <si>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</si>
  <si>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</si>
  <si>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</si>
  <si>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</si>
  <si>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</si>
  <si>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</si>
  <si>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</si>
  <si>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</si>
  <si>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</si>
  <si>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</si>
  <si>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</si>
  <si>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</si>
  <si>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</si>
  <si>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</si>
  <si>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</si>
  <si>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</si>
  <si>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</si>
  <si>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</si>
  <si>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</si>
  <si>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</si>
  <si>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</si>
  <si>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</si>
  <si>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</si>
  <si>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</si>
  <si>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</si>
  <si>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</si>
  <si>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</si>
  <si>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</si>
  <si>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</si>
  <si>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</si>
  <si>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</si>
  <si>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</si>
  <si>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</si>
  <si>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</si>
  <si>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</si>
  <si>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</si>
  <si>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</si>
  <si>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</si>
  <si>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</si>
  <si>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</si>
  <si>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</si>
  <si>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</si>
  <si>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</si>
  <si>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</si>
  <si>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</si>
  <si>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</si>
  <si>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</si>
  <si>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</si>
  <si>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</si>
  <si>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</si>
  <si>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</si>
  <si>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</si>
  <si>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</si>
  <si>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</si>
  <si>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</si>
  <si>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</si>
  <si>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</si>
  <si>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</si>
  <si>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</si>
  <si>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</si>
  <si>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</si>
  <si>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</si>
  <si>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</si>
  <si>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</si>
  <si>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</si>
  <si>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</si>
  <si>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</si>
  <si>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</si>
  <si>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</si>
  <si>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</si>
  <si>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</si>
  <si>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</si>
  <si>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</si>
  <si>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</si>
  <si>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</si>
  <si>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</si>
  <si>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</si>
  <si>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</si>
  <si>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</si>
  <si>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</si>
  <si>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</si>
  <si>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</si>
  <si>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</si>
  <si>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</si>
  <si>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</si>
  <si>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</si>
  <si>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</si>
  <si>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</si>
  <si>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</si>
  <si>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</si>
  <si>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</si>
  <si>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</si>
  <si>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</si>
  <si>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</si>
  <si>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</si>
  <si>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</si>
  <si>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</si>
  <si>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</si>
  <si>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</si>
  <si>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</si>
  <si>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</si>
  <si>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</si>
  <si>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</si>
  <si>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</si>
  <si>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</si>
  <si>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</si>
  <si>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</si>
  <si>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</si>
  <si>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</si>
  <si>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</si>
  <si>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</si>
  <si>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</si>
  <si>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</si>
  <si>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</si>
  <si>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</si>
  <si>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</si>
  <si>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</si>
  <si>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</si>
  <si>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</si>
  <si>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</si>
  <si>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</si>
  <si>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</si>
  <si>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</si>
  <si>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</si>
  <si>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</si>
  <si>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</si>
  <si>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</si>
  <si>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</si>
  <si>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</si>
  <si>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</si>
  <si>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</si>
  <si>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</si>
  <si>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</si>
  <si>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</si>
  <si>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</si>
  <si>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</si>
  <si>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</si>
  <si>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</si>
  <si>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</si>
  <si>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</si>
  <si>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</si>
  <si>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</si>
  <si>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</si>
  <si>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</si>
  <si>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</si>
  <si>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</si>
  <si>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</si>
  <si>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</si>
  <si>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</si>
  <si>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</si>
  <si>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</si>
  <si>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</si>
  <si>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</si>
  <si>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</si>
  <si>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</si>
  <si>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</si>
  <si>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</si>
  <si>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</si>
  <si>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</si>
  <si>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</si>
  <si>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</si>
  <si>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</si>
  <si>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</si>
  <si>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</si>
  <si>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</si>
  <si>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</si>
  <si>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</si>
  <si>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</si>
  <si>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</si>
  <si>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</si>
  <si>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</si>
  <si>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</si>
  <si>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</si>
  <si>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</si>
  <si>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</si>
  <si>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</si>
  <si>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</si>
  <si>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</si>
  <si>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</si>
  <si>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</si>
  <si>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</si>
  <si>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</si>
  <si>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Selskabsskatter</t>
  </si>
  <si>
    <t>Ingen engangstillæg</t>
  </si>
  <si>
    <t>Ingen anlægsprojekter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</si>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</sst>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2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25">
      <c r="A8" s="1"/>
      <c r="B8" s="1"/>
      <c r="C8" s="4"/>
      <c r="D8" s="68" t="s">
        <v>192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56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22</v>
      </c>
      <c r="D14" s="63" t="s">
        <v>177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55</v>
      </c>
      <c r="D15" s="63" t="s">
        <v>133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57</v>
      </c>
      <c r="D16" s="63" t="s">
        <v>134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224</v>
      </c>
      <c r="D17" s="63" t="s">
        <v>66</v>
      </c>
      <c r="E17" s="64"/>
      <c r="F17" s="64"/>
      <c r="G17" s="65"/>
      <c r="H17" s="1"/>
      <c r="I17" s="1"/>
    </row>
    <row r="18" spans="1:9" x14ac:dyDescent="0.25">
      <c r="A18" s="1"/>
      <c r="B18" s="1"/>
      <c r="C18" s="34" t="s">
        <v>196</v>
      </c>
      <c r="D18" s="69" t="s">
        <v>162</v>
      </c>
      <c r="E18" s="70"/>
      <c r="F18" s="70"/>
      <c r="G18" s="71"/>
      <c r="H18" s="1"/>
      <c r="I18" s="1"/>
    </row>
    <row r="19" spans="1:9" x14ac:dyDescent="0.25">
      <c r="A19" s="1"/>
      <c r="B19" s="1"/>
      <c r="C19" s="34" t="s">
        <v>197</v>
      </c>
      <c r="D19" s="69" t="s">
        <v>163</v>
      </c>
      <c r="E19" s="70"/>
      <c r="F19" s="70"/>
      <c r="G19" s="71"/>
      <c r="H19" s="1"/>
      <c r="I19" s="1"/>
    </row>
    <row r="20" spans="1:9" x14ac:dyDescent="0.25">
      <c r="A20" s="1"/>
      <c r="B20" s="1"/>
      <c r="C20" s="34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198</v>
      </c>
      <c r="D21" s="60" t="s">
        <v>17</v>
      </c>
      <c r="E21" s="61"/>
      <c r="F21" s="61"/>
      <c r="G21" s="62"/>
      <c r="H21" s="1"/>
      <c r="I21" s="1"/>
    </row>
    <row r="22" spans="1:9" x14ac:dyDescent="0.25">
      <c r="A22" s="1"/>
      <c r="B22" s="1"/>
      <c r="C22" s="6" t="s">
        <v>140</v>
      </c>
      <c r="D22" s="54" t="s">
        <v>161</v>
      </c>
      <c r="E22" s="55"/>
      <c r="F22" s="55"/>
      <c r="G22" s="56"/>
      <c r="H22" s="1"/>
      <c r="I22" s="1"/>
    </row>
    <row r="23" spans="1:9" x14ac:dyDescent="0.25">
      <c r="A23" s="1"/>
      <c r="B23" s="1"/>
      <c r="C23" s="6" t="s">
        <v>8</v>
      </c>
      <c r="D23" s="54" t="s">
        <v>225</v>
      </c>
      <c r="E23" s="55"/>
      <c r="F23" s="55"/>
      <c r="G23" s="56"/>
      <c r="H23" s="1"/>
      <c r="I23" s="1"/>
    </row>
    <row r="24" spans="1:9" x14ac:dyDescent="0.25">
      <c r="A24" s="1"/>
      <c r="B24" s="1"/>
      <c r="C24" s="6" t="s">
        <v>9</v>
      </c>
      <c r="D24" s="54" t="s">
        <v>58</v>
      </c>
      <c r="E24" s="55"/>
      <c r="F24" s="55"/>
      <c r="G24" s="56"/>
      <c r="H24" s="1"/>
      <c r="I24" s="1"/>
    </row>
    <row r="25" spans="1:9" x14ac:dyDescent="0.25">
      <c r="A25" s="1"/>
      <c r="B25" s="1"/>
      <c r="C25" s="6" t="s">
        <v>199</v>
      </c>
      <c r="D25" s="54" t="s">
        <v>141</v>
      </c>
      <c r="E25" s="55"/>
      <c r="F25" s="55"/>
      <c r="G25" s="56"/>
      <c r="H25" s="1"/>
      <c r="I25" s="1"/>
    </row>
    <row r="26" spans="1:9" x14ac:dyDescent="0.25">
      <c r="A26" s="1"/>
      <c r="B26" s="1"/>
      <c r="C26" s="6" t="s">
        <v>200</v>
      </c>
      <c r="D26" s="54" t="s">
        <v>142</v>
      </c>
      <c r="E26" s="55"/>
      <c r="F26" s="55"/>
      <c r="G26" s="56"/>
      <c r="H26" s="1"/>
      <c r="I26" s="1"/>
    </row>
    <row r="27" spans="1:9" x14ac:dyDescent="0.25">
      <c r="A27" s="1"/>
      <c r="B27" s="1"/>
      <c r="C27" s="6" t="s">
        <v>201</v>
      </c>
      <c r="D27" s="54" t="s">
        <v>59</v>
      </c>
      <c r="E27" s="55"/>
      <c r="F27" s="55"/>
      <c r="G27" s="56"/>
      <c r="H27" s="1"/>
      <c r="I27" s="1"/>
    </row>
    <row r="28" spans="1:9" x14ac:dyDescent="0.25">
      <c r="A28" s="1"/>
      <c r="B28" s="1"/>
      <c r="C28" s="6" t="s">
        <v>183</v>
      </c>
      <c r="D28" s="54" t="s">
        <v>60</v>
      </c>
      <c r="E28" s="55"/>
      <c r="F28" s="55"/>
      <c r="G28" s="56"/>
      <c r="H28" s="1"/>
      <c r="I28" s="1"/>
    </row>
    <row r="29" spans="1:9" x14ac:dyDescent="0.25">
      <c r="A29" s="1"/>
      <c r="B29" s="1"/>
      <c r="C29" s="6" t="s">
        <v>61</v>
      </c>
      <c r="D29" s="51" t="s">
        <v>11</v>
      </c>
      <c r="E29" s="52"/>
      <c r="F29" s="52"/>
      <c r="G29" s="53"/>
      <c r="H29" s="1"/>
      <c r="I29" s="1"/>
    </row>
    <row r="30" spans="1:9" x14ac:dyDescent="0.25">
      <c r="A30" s="1"/>
      <c r="B30" s="1"/>
      <c r="C30" s="6" t="s">
        <v>62</v>
      </c>
      <c r="D30" s="57" t="s">
        <v>184</v>
      </c>
      <c r="E30" s="58"/>
      <c r="F30" s="58"/>
      <c r="G30" s="59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B50+D/qbvAf94sekRiKoUK1wI8CNMxns7ZNBFOldDfl7oLPW4nu8fvV66j0erJZTkP92KLABGD8g2o4GB1MKMA==" saltValue="JOasKcwd/wODj/9gS4dLAw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39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10846673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42240</v>
      </c>
      <c r="D11" s="14" t="s">
        <v>3</v>
      </c>
      <c r="E11" s="1"/>
      <c r="F11" s="1"/>
    </row>
    <row r="12" spans="1:6" x14ac:dyDescent="0.25">
      <c r="A12" s="1"/>
      <c r="B12" s="48" t="s">
        <v>236</v>
      </c>
      <c r="C12" s="9">
        <v>57626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96000</v>
      </c>
      <c r="D13" s="14" t="s">
        <v>3</v>
      </c>
      <c r="E13" s="1"/>
      <c r="F13" s="1"/>
    </row>
    <row r="14" spans="1:6" x14ac:dyDescent="0.25">
      <c r="A14" s="1"/>
      <c r="B14" s="46" t="s">
        <v>71</v>
      </c>
      <c r="C14" s="12">
        <f>SUM(C10:C13)</f>
        <v>11042539</v>
      </c>
      <c r="D14" s="13" t="s">
        <v>3</v>
      </c>
      <c r="E14" s="1"/>
      <c r="F14" s="1"/>
    </row>
    <row r="15" spans="1:6" x14ac:dyDescent="0.25">
      <c r="A15" s="1"/>
      <c r="B15" s="46" t="s">
        <v>72</v>
      </c>
      <c r="C15" s="12">
        <f>C14*(1+'Fane 14. Nøgletal'!C12)^2</f>
        <v>11481900.535560511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qJ5A5gNK3u9fB6NUlsbhZVcuBJbKKaBaYiRU9WzZXk9i+JBY1ZeNJ+XSsGOlpQjsUIHSZAMcpngDi3DYE7Azvg==" saltValue="0U4SegHH6m69CxR9g9rGQ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205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-721679.18166666664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2810146.2248503529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2088467.0431836862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2"/>
      <c r="G10" s="1"/>
    </row>
    <row r="11" spans="1:7" ht="28.5" customHeight="1" x14ac:dyDescent="0.25">
      <c r="A11" s="1"/>
      <c r="B11" s="86" t="s">
        <v>188</v>
      </c>
      <c r="C11" s="87"/>
      <c r="D11" s="87"/>
      <c r="E11" s="87"/>
      <c r="F11" s="8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27652713.088381529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20765867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6886846.0883815289</v>
      </c>
      <c r="F18" s="17" t="s">
        <v>3</v>
      </c>
      <c r="G18" s="1"/>
    </row>
    <row r="19" spans="1:7" x14ac:dyDescent="0.25">
      <c r="A19" s="1"/>
      <c r="B19" s="46"/>
      <c r="C19" s="47"/>
      <c r="D19" s="47"/>
      <c r="E19" s="47"/>
      <c r="F19" s="22"/>
      <c r="G19" s="1"/>
    </row>
    <row r="20" spans="1:7" ht="30" customHeight="1" x14ac:dyDescent="0.25">
      <c r="A20" s="1"/>
      <c r="B20" s="86" t="s">
        <v>189</v>
      </c>
      <c r="C20" s="87"/>
      <c r="D20" s="87"/>
      <c r="E20" s="87"/>
      <c r="F20" s="8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24150038.282037657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21509714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181000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2821324.2820376568</v>
      </c>
      <c r="F27" s="17" t="s">
        <v>3</v>
      </c>
      <c r="G27" s="1"/>
    </row>
    <row r="28" spans="1:7" x14ac:dyDescent="0.25">
      <c r="A28" s="1"/>
      <c r="B28" s="46"/>
      <c r="C28" s="47"/>
      <c r="D28" s="47"/>
      <c r="E28" s="47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241</v>
      </c>
      <c r="C31" s="96"/>
      <c r="D31" s="96"/>
      <c r="E31" s="96"/>
      <c r="F31" s="97"/>
      <c r="G31" s="1"/>
    </row>
    <row r="32" spans="1:7" x14ac:dyDescent="0.25">
      <c r="A32" s="1"/>
      <c r="B32" s="106" t="s">
        <v>242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1044233.5215918431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i/6KzxJt8zCoqJ8PS1DtPh0vMSIPY+w1nOroMJpKnf56pnPo6g8VfVxtJLRf8JNb4uI9/zADNnezr5ZMWDtFFQ==" saltValue="qA/GZ0PJGDRjulyX8Xrw7w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228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92" t="s">
        <v>164</v>
      </c>
      <c r="C9" s="93"/>
      <c r="D9" s="94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46" t="s">
        <v>175</v>
      </c>
      <c r="C10" s="47"/>
      <c r="D10" s="47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W7lPmjSyNHG8I8xQmHnO6sZPJeG+nM9oVxO/Qub9FsQBq/PluNBKoLwftr5AyxgBeRDJ/9rrLs1h9Kf42Zs3PQ==" saltValue="KqxDuNY+0CevmbTV8SmA+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x14ac:dyDescent="0.25">
      <c r="A10" s="1"/>
      <c r="B10" s="115" t="s">
        <v>239</v>
      </c>
      <c r="C10" s="11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5" t="s">
        <v>231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SyTHeavmHGaLHexw0tOoL/mCrRdQeWkzlvHj2BSQtYqKuqpPkPKs0aqty9w/xGf3FuIwOk9h0jTNIzPHSSmrQ==" saltValue="RvuUSr7+V+h2I5eFUAh5G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240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6" t="s">
        <v>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gQ0cObhhlAmOSNNg97Af8j4lASjC8jTfwn+MepeCLDbvnFHnV0HTqGP6kNBK06QSnIAXzJ4tKDcqqQINqkQ7ug==" saltValue="6S3cU2uvACwpY5LaHJxfW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238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25">
      <c r="A18" s="1"/>
      <c r="B18" s="27" t="s">
        <v>238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25">
      <c r="A26" s="1"/>
      <c r="B26" s="27" t="s">
        <v>238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25">
      <c r="A34" s="1"/>
      <c r="B34" s="27" t="s">
        <v>238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EFxzRcq3TnKWdaJvC0S/WQuHxAxOhhK6QWuSE5aRd5UjcmezSAZB9rKEPQEsKLQuDwnQrzzdAJfhf3bg/cREHg==" saltValue="IjkX0ezKskL7X3Q/xV866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208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32</v>
      </c>
      <c r="C9" s="92" t="s">
        <v>16</v>
      </c>
      <c r="D9" s="94"/>
      <c r="E9" s="92" t="s">
        <v>47</v>
      </c>
      <c r="F9" s="94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8IZfvi14L7Yg6RAPmOtJhRxe+sCE0dbN0mquMAhi4L1JSHeT8JovOsenXXSLe76jghUQwsp+b3Y7X45uUMCJnw==" saltValue="cqGVQFAC95RMrQGLNRhk2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209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9DTEAMp8lM26cBtPAc9YUhOfxCVQoy+UB28766vCKtIxNhw8c0gqMPM6BFKy+p3RdJgKi14+J/eZxa9TGfeLgw==" saltValue="wMZDSGjJ64hocncXPgsQV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15030619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-13476591.907407407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1554027.0925925933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-1554027.0925925933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I1nTSqe9A5kSe2m9GdDz2T1DPSOXS9vj0ltSC4QjRIzC7kVffeLOwK620ZqYJ9TVVVllJI2B5YFlGx8shAqxw==" saltValue="p/ycek40uPyvJ6xF64BC4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2" t="s">
        <v>54</v>
      </c>
      <c r="C3" s="82"/>
      <c r="D3" s="1"/>
    </row>
    <row r="4" spans="1:4" ht="25.5" customHeight="1" x14ac:dyDescent="0.25">
      <c r="A4" s="1"/>
      <c r="B4" s="82"/>
      <c r="C4" s="8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46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6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46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IY34Qfaf16dzj+4nNS8+uG922NmmmSXmp6FjNe7MEzfVSfzFbSTz1SmTcbctxbrM8SDCSR1iOKRFnmqlBuMicQ==" saltValue="nZf2ARwx0DKHXqypbxDXYg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x14ac:dyDescent="0.25">
      <c r="A9" s="1"/>
      <c r="B9" s="45" t="s">
        <v>34</v>
      </c>
      <c r="C9" s="7">
        <f>'Fane 3. Omkostninger i ØR2019'!E22</f>
        <v>15033171.912441019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254060.60532025321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0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-123724.4683490492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-81261.63798742072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15082246.411424803</v>
      </c>
      <c r="D20" s="11" t="s">
        <v>3</v>
      </c>
      <c r="E20" s="1"/>
    </row>
    <row r="21" spans="1:5" ht="15" customHeight="1" x14ac:dyDescent="0.25">
      <c r="A21" s="1"/>
      <c r="B21" s="46" t="s">
        <v>17</v>
      </c>
      <c r="C21" s="47"/>
      <c r="D21" s="22"/>
      <c r="E21" s="1"/>
    </row>
    <row r="22" spans="1:5" ht="15" customHeight="1" x14ac:dyDescent="0.25">
      <c r="A22" s="1"/>
      <c r="B22" s="40" t="s">
        <v>17</v>
      </c>
      <c r="C22" s="10">
        <f>'Fane 6. Ikke-påvirkelige omk.'!C15</f>
        <v>11481900.535560511</v>
      </c>
      <c r="D22" s="11" t="s">
        <v>3</v>
      </c>
      <c r="E22" s="1"/>
    </row>
    <row r="23" spans="1:5" ht="15" customHeight="1" x14ac:dyDescent="0.25">
      <c r="A23" s="1"/>
      <c r="B23" s="46" t="s">
        <v>142</v>
      </c>
      <c r="C23" s="47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6" t="s">
        <v>11</v>
      </c>
      <c r="C27" s="47"/>
      <c r="D27" s="22"/>
      <c r="E27" s="1"/>
    </row>
    <row r="28" spans="1:5" ht="15" customHeight="1" x14ac:dyDescent="0.25">
      <c r="A28" s="1"/>
      <c r="B28" s="40" t="s">
        <v>19</v>
      </c>
      <c r="C28" s="10">
        <f>'Fane 13. Hist. over-underdæk.'!G14</f>
        <v>-1554027.0925925933</v>
      </c>
      <c r="D28" s="11" t="s">
        <v>3</v>
      </c>
      <c r="E28" s="1"/>
    </row>
    <row r="29" spans="1:5" ht="15" customHeight="1" x14ac:dyDescent="0.25">
      <c r="A29" s="1"/>
      <c r="B29" s="46" t="s">
        <v>53</v>
      </c>
      <c r="C29" s="47"/>
      <c r="D29" s="22"/>
      <c r="E29" s="1"/>
    </row>
    <row r="30" spans="1:5" x14ac:dyDescent="0.25">
      <c r="A30" s="1"/>
      <c r="B30" s="40" t="s">
        <v>218</v>
      </c>
      <c r="C30" s="10">
        <f>'Fane 7. Kontrol af ØR2018'!E32</f>
        <v>1044233.5215918431</v>
      </c>
      <c r="D30" s="11" t="s">
        <v>3</v>
      </c>
      <c r="E30" s="1"/>
    </row>
    <row r="31" spans="1:5" x14ac:dyDescent="0.25">
      <c r="A31" s="1"/>
      <c r="B31" s="46" t="s">
        <v>225</v>
      </c>
      <c r="C31" s="47"/>
      <c r="D31" s="22"/>
      <c r="E31" s="1"/>
    </row>
    <row r="32" spans="1:5" x14ac:dyDescent="0.25">
      <c r="A32" s="1"/>
      <c r="B32" s="40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46" t="s">
        <v>35</v>
      </c>
      <c r="C33" s="33">
        <f>SUM(C20,C22,C26,C28,C30,C32)</f>
        <v>26054353.375984561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pO+b28dK1DfYQIARSxJlt6TyOf+PCSpM5LvASssH7PyT87wdLMsiezWFK8SfYGDN1R7tYX2Qca1KKIkKF7jew==" saltValue="gcd+ZCdL4qMuJK9AMbhLn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ht="15" customHeight="1" x14ac:dyDescent="0.25">
      <c r="A9" s="1"/>
      <c r="B9" s="45" t="s">
        <v>36</v>
      </c>
      <c r="C9" s="7">
        <f>'Fane 2.1. Økonomisk ramme 2020'!C20</f>
        <v>15082246.411424803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297120.25430506858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-123638.60356801497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-268140.35810084996</v>
      </c>
      <c r="D15" s="8" t="s">
        <v>3</v>
      </c>
      <c r="E15" s="1"/>
    </row>
    <row r="16" spans="1:5" ht="15" customHeight="1" x14ac:dyDescent="0.25">
      <c r="A16" s="1"/>
      <c r="B16" s="39" t="s">
        <v>28</v>
      </c>
      <c r="C16" s="10">
        <f>SUM(C9:C15)</f>
        <v>14987587.704061005</v>
      </c>
      <c r="D16" s="11" t="s">
        <v>3</v>
      </c>
      <c r="E16" s="1"/>
    </row>
    <row r="17" spans="1:5" x14ac:dyDescent="0.25">
      <c r="A17" s="1"/>
      <c r="B17" s="46" t="s">
        <v>17</v>
      </c>
      <c r="C17" s="47"/>
      <c r="D17" s="22"/>
      <c r="E17" s="1"/>
    </row>
    <row r="18" spans="1:5" ht="15" customHeight="1" x14ac:dyDescent="0.25">
      <c r="A18" s="1"/>
      <c r="B18" s="40" t="s">
        <v>17</v>
      </c>
      <c r="C18" s="10">
        <f>'Fane 6. Ikke-påvirkelige omk.'!C15*(1+'Fane 14. Nøgletal'!C12)</f>
        <v>11708093.976111054</v>
      </c>
      <c r="D18" s="11" t="s">
        <v>3</v>
      </c>
      <c r="E18" s="1"/>
    </row>
    <row r="19" spans="1:5" ht="15" customHeight="1" x14ac:dyDescent="0.25">
      <c r="A19" s="1"/>
      <c r="B19" s="46" t="s">
        <v>142</v>
      </c>
      <c r="C19" s="47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6" t="s">
        <v>160</v>
      </c>
      <c r="C23" s="47"/>
      <c r="D23" s="22"/>
      <c r="E23" s="1"/>
    </row>
    <row r="24" spans="1:5" ht="15" customHeight="1" x14ac:dyDescent="0.25">
      <c r="A24" s="1"/>
      <c r="B24" s="40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46" t="s">
        <v>44</v>
      </c>
      <c r="C25" s="12">
        <f>SUM(C16,C18,C22,C24)</f>
        <v>26695681.68017206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bym5Q0iLessgNKH7yCJSsiWfeneXQ5ubyYllppzj9tMG9mqNsykkA8ked2ur0LmMHKhIwgZkzM/POkaeHScoVg==" saltValue="YLneRxYfWZbh+oY/vcSgZ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36</v>
      </c>
      <c r="C8" s="7">
        <f>'Fane 2.2. Økonomisk ramme 2021'!C16</f>
        <v>14987587.704061005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295255.4777700018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-123552.7983771388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-265657.51781782234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14893632.865636045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omk.'!C15*(1+'Fane 14. Nøgletal'!C12)^2</f>
        <v>11938743.427440442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160</v>
      </c>
      <c r="C22" s="47"/>
      <c r="D22" s="22"/>
      <c r="E22" s="1"/>
    </row>
    <row r="23" spans="1:5" ht="15" customHeight="1" x14ac:dyDescent="0.25">
      <c r="A23" s="1"/>
      <c r="B23" s="40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46" t="s">
        <v>45</v>
      </c>
      <c r="C24" s="12">
        <f>SUM(C15,C17,C21,C23)</f>
        <v>26832376.293076485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CGdKJRheBawbc0Iw9ghLObgyTCUYtJ6v+PKYctcHEFgibaVWU0MqcQHU6MVfT+K+h6Rhm3QJskAoviRiZjbvSg==" saltValue="aKjDXa4SXy5xet0HlL29L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37</v>
      </c>
      <c r="C8" s="7">
        <f>'Fane 2.3. Økonomisk ramme 2022'!C15</f>
        <v>14893632.865636045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293404.56745303009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-123467.05273506505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-263197.66734473855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14800372.713009274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omk.'!C15*(1+'Fane 14. Nøgletal'!C12)^3</f>
        <v>12173936.672961017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154</v>
      </c>
      <c r="C22" s="12">
        <f>SUM(C15,C17,C21)</f>
        <v>26974309.385970291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42exc3B3a4uD7Pj0gOBU6tuuLSdsMo+q1BLa6pUyJrIpyzbO/x+5kF8Apij8ll0wCor/1J+LCC9WcWQhHFVX7w==" saltValue="le5UM+saheNlJruqHUQyW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221</v>
      </c>
      <c r="C3" s="82"/>
      <c r="D3" s="82"/>
      <c r="E3" s="82"/>
      <c r="F3" s="82"/>
      <c r="G3" s="1"/>
    </row>
    <row r="4" spans="1:7" ht="29.2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84</v>
      </c>
      <c r="C8" s="47"/>
      <c r="D8" s="47"/>
      <c r="E8" s="47"/>
      <c r="F8" s="22"/>
      <c r="G8" s="1"/>
    </row>
    <row r="9" spans="1:7" x14ac:dyDescent="0.25">
      <c r="A9" s="1"/>
      <c r="B9" s="83" t="s">
        <v>81</v>
      </c>
      <c r="C9" s="84"/>
      <c r="D9" s="85"/>
      <c r="E9" s="7">
        <v>15042698.290937657</v>
      </c>
      <c r="F9" s="8" t="s">
        <v>3</v>
      </c>
      <c r="G9" s="1"/>
    </row>
    <row r="10" spans="1:7" x14ac:dyDescent="0.25">
      <c r="A10" s="1"/>
      <c r="B10" s="83" t="s">
        <v>82</v>
      </c>
      <c r="C10" s="84"/>
      <c r="D10" s="85"/>
      <c r="E10" s="7">
        <v>0.12280798800420015</v>
      </c>
      <c r="F10" s="8" t="s">
        <v>3</v>
      </c>
      <c r="G10" s="1"/>
    </row>
    <row r="11" spans="1:7" x14ac:dyDescent="0.25">
      <c r="A11" s="1"/>
      <c r="B11" s="83" t="s">
        <v>83</v>
      </c>
      <c r="C11" s="84"/>
      <c r="D11" s="85"/>
      <c r="E11" s="7">
        <v>-58004.067044256444</v>
      </c>
      <c r="F11" s="8" t="s">
        <v>3</v>
      </c>
      <c r="G11" s="1"/>
    </row>
    <row r="12" spans="1:7" x14ac:dyDescent="0.25">
      <c r="A12" s="1"/>
      <c r="B12" s="74" t="s">
        <v>67</v>
      </c>
      <c r="C12" s="75"/>
      <c r="D12" s="76"/>
      <c r="E12" s="7">
        <v>0</v>
      </c>
      <c r="F12" s="8" t="s">
        <v>3</v>
      </c>
      <c r="G12" s="1"/>
    </row>
    <row r="13" spans="1:7" x14ac:dyDescent="0.25">
      <c r="A13" s="1"/>
      <c r="B13" s="74" t="s">
        <v>68</v>
      </c>
      <c r="C13" s="75"/>
      <c r="D13" s="76"/>
      <c r="E13" s="9">
        <v>0</v>
      </c>
      <c r="F13" s="8" t="s">
        <v>3</v>
      </c>
      <c r="G13" s="1"/>
    </row>
    <row r="14" spans="1:7" x14ac:dyDescent="0.25">
      <c r="A14" s="1"/>
      <c r="B14" s="74" t="s">
        <v>41</v>
      </c>
      <c r="C14" s="75"/>
      <c r="D14" s="76"/>
      <c r="E14" s="9">
        <v>0</v>
      </c>
      <c r="F14" s="8" t="s">
        <v>3</v>
      </c>
      <c r="G14" s="1"/>
    </row>
    <row r="15" spans="1:7" x14ac:dyDescent="0.25">
      <c r="A15" s="1"/>
      <c r="B15" s="74" t="s">
        <v>40</v>
      </c>
      <c r="C15" s="75"/>
      <c r="D15" s="76"/>
      <c r="E15" s="9">
        <v>0</v>
      </c>
      <c r="F15" s="8" t="s">
        <v>3</v>
      </c>
      <c r="G15" s="1"/>
    </row>
    <row r="16" spans="1:7" x14ac:dyDescent="0.25">
      <c r="A16" s="1"/>
      <c r="B16" s="74" t="s">
        <v>43</v>
      </c>
      <c r="C16" s="75"/>
      <c r="D16" s="76"/>
      <c r="E16" s="9">
        <v>0</v>
      </c>
      <c r="F16" s="8" t="s">
        <v>3</v>
      </c>
      <c r="G16" s="1"/>
    </row>
    <row r="17" spans="1:7" x14ac:dyDescent="0.25">
      <c r="A17" s="1"/>
      <c r="B17" s="74" t="s">
        <v>42</v>
      </c>
      <c r="C17" s="75"/>
      <c r="D17" s="76"/>
      <c r="E17" s="9">
        <v>0</v>
      </c>
      <c r="F17" s="8" t="s">
        <v>3</v>
      </c>
      <c r="G17" s="1"/>
    </row>
    <row r="18" spans="1:7" x14ac:dyDescent="0.25">
      <c r="A18" s="1"/>
      <c r="B18" s="74" t="s">
        <v>26</v>
      </c>
      <c r="C18" s="75"/>
      <c r="D18" s="76"/>
      <c r="E18" s="9">
        <f>SUM(E9:E17)*'Fane 14. Nøgletal'!C11</f>
        <v>253241.33445925344</v>
      </c>
      <c r="F18" s="8" t="s">
        <v>3</v>
      </c>
      <c r="G18" s="1"/>
    </row>
    <row r="19" spans="1:7" x14ac:dyDescent="0.25">
      <c r="A19" s="1"/>
      <c r="B19" s="74" t="s">
        <v>10</v>
      </c>
      <c r="C19" s="75"/>
      <c r="D19" s="76"/>
      <c r="E19" s="9">
        <f>-SUM(E9:E18)*'Fane 5. Individuelt eff. krav'!G10</f>
        <v>0</v>
      </c>
      <c r="F19" s="8" t="s">
        <v>3</v>
      </c>
      <c r="G19" s="1"/>
    </row>
    <row r="20" spans="1:7" x14ac:dyDescent="0.25">
      <c r="A20" s="1"/>
      <c r="B20" s="74" t="s">
        <v>38</v>
      </c>
      <c r="C20" s="75"/>
      <c r="D20" s="76"/>
      <c r="E20" s="9">
        <f>-'Fane 4.1. Gen. krav - drift'!G20</f>
        <v>-124151.30052023778</v>
      </c>
      <c r="F20" s="8" t="s">
        <v>3</v>
      </c>
      <c r="G20" s="1"/>
    </row>
    <row r="21" spans="1:7" x14ac:dyDescent="0.25">
      <c r="A21" s="1"/>
      <c r="B21" s="74" t="s">
        <v>39</v>
      </c>
      <c r="C21" s="75"/>
      <c r="D21" s="76"/>
      <c r="E21" s="9">
        <f>-'Fane 4.2. Gen. krav - anlæg'!G19</f>
        <v>-80612.468199385126</v>
      </c>
      <c r="F21" s="8" t="s">
        <v>3</v>
      </c>
      <c r="G21" s="1"/>
    </row>
    <row r="22" spans="1:7" x14ac:dyDescent="0.25">
      <c r="A22" s="1"/>
      <c r="B22" s="89" t="s">
        <v>28</v>
      </c>
      <c r="C22" s="90"/>
      <c r="D22" s="91"/>
      <c r="E22" s="10">
        <f>SUM(E9:E21)</f>
        <v>15033171.912441019</v>
      </c>
      <c r="F22" s="11" t="s">
        <v>3</v>
      </c>
      <c r="G22" s="1"/>
    </row>
    <row r="23" spans="1:7" x14ac:dyDescent="0.25">
      <c r="A23" s="1"/>
      <c r="B23" s="77" t="s">
        <v>17</v>
      </c>
      <c r="C23" s="78"/>
      <c r="D23" s="78"/>
      <c r="E23" s="47"/>
      <c r="F23" s="22"/>
      <c r="G23" s="1"/>
    </row>
    <row r="24" spans="1:7" x14ac:dyDescent="0.25">
      <c r="A24" s="1"/>
      <c r="B24" s="79" t="s">
        <v>17</v>
      </c>
      <c r="C24" s="80"/>
      <c r="D24" s="81"/>
      <c r="E24" s="10">
        <v>11177793.288453497</v>
      </c>
      <c r="F24" s="11" t="s">
        <v>3</v>
      </c>
      <c r="G24" s="1"/>
    </row>
    <row r="25" spans="1:7" x14ac:dyDescent="0.2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25">
      <c r="A26" s="1"/>
      <c r="B26" s="92" t="s">
        <v>132</v>
      </c>
      <c r="C26" s="93"/>
      <c r="D26" s="94"/>
      <c r="E26" s="10">
        <v>49319.691949421809</v>
      </c>
      <c r="F26" s="11" t="s">
        <v>3</v>
      </c>
      <c r="G26" s="1"/>
    </row>
    <row r="27" spans="1:7" x14ac:dyDescent="0.25">
      <c r="A27" s="1"/>
      <c r="B27" s="46" t="s">
        <v>11</v>
      </c>
      <c r="C27" s="47"/>
      <c r="D27" s="47"/>
      <c r="E27" s="47"/>
      <c r="F27" s="22"/>
      <c r="G27" s="1"/>
    </row>
    <row r="28" spans="1:7" x14ac:dyDescent="0.25">
      <c r="A28" s="1"/>
      <c r="B28" s="79" t="s">
        <v>19</v>
      </c>
      <c r="C28" s="80"/>
      <c r="D28" s="81"/>
      <c r="E28" s="10">
        <v>-1554027</v>
      </c>
      <c r="F28" s="11" t="s">
        <v>3</v>
      </c>
      <c r="G28" s="1"/>
    </row>
    <row r="29" spans="1:7" x14ac:dyDescent="0.25">
      <c r="A29" s="1"/>
      <c r="B29" s="46" t="s">
        <v>160</v>
      </c>
      <c r="C29" s="47"/>
      <c r="D29" s="47"/>
      <c r="E29" s="47"/>
      <c r="F29" s="22"/>
      <c r="G29" s="1"/>
    </row>
    <row r="30" spans="1:7" x14ac:dyDescent="0.25">
      <c r="A30" s="1"/>
      <c r="B30" s="79" t="s">
        <v>131</v>
      </c>
      <c r="C30" s="80"/>
      <c r="D30" s="81"/>
      <c r="E30" s="10">
        <v>1098723.8281755096</v>
      </c>
      <c r="F30" s="11" t="s">
        <v>3</v>
      </c>
      <c r="G30" s="1"/>
    </row>
    <row r="31" spans="1:7" x14ac:dyDescent="0.25">
      <c r="A31" s="1"/>
      <c r="B31" s="46" t="s">
        <v>23</v>
      </c>
      <c r="C31" s="47"/>
      <c r="D31" s="47"/>
      <c r="E31" s="12">
        <f>SUM(E28,E26,E24,E22,E30)</f>
        <v>25804981.721019451</v>
      </c>
      <c r="F31" s="13" t="s">
        <v>3</v>
      </c>
      <c r="G31" s="1"/>
    </row>
    <row r="32" spans="1:7" ht="28.15" customHeight="1" x14ac:dyDescent="0.25">
      <c r="A32" s="1"/>
      <c r="B32" s="86" t="s">
        <v>189</v>
      </c>
      <c r="C32" s="87"/>
      <c r="D32" s="87"/>
      <c r="E32" s="87"/>
      <c r="F32" s="88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VPU27B9xV7VETkLmYWLBrWnpTng+1Nvk0pp3JTTGWWZGIJ36iQnTABenrad+I8DEAT7eRJZG8pUiYMgD78+7Dg==" saltValue="OPILXXht7ERKaBzQ4HZ8pA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6276392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125527.84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6228980.1348319994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124579.60269663999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6207564.9011284458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0.12488344300147113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124151.30052023778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6186223.4174524602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123724.4683490492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6181930.1784007484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123638.60356801497</v>
      </c>
      <c r="H32" s="14" t="s">
        <v>3</v>
      </c>
      <c r="I32" s="1"/>
    </row>
    <row r="33" spans="1:9" x14ac:dyDescent="0.2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6177639.9188569393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123552.7983771388</v>
      </c>
      <c r="H38" s="14" t="s">
        <v>3</v>
      </c>
      <c r="I38" s="1"/>
    </row>
    <row r="39" spans="1:9" x14ac:dyDescent="0.2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6173352.6367532527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123467.05273506505</v>
      </c>
      <c r="H44" s="14" t="s">
        <v>3</v>
      </c>
      <c r="I44" s="1"/>
    </row>
    <row r="45" spans="1:9" x14ac:dyDescent="0.2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68u1+gKc0ijHAp/VN/cnGf8wZvVxm95d9Iq3AhefSsvcUQMV8xHo55hbyxJoE5ckHP0gwPZdGOXqveO+0lVguA==" saltValue="tUbKCnOL4sQejzPUhqV7oA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9221894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83919.235400000005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9254027.0441104192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84211.646101404825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9324785.2782353666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-58984.335777304375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0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80612.468199385126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9340418.1594736464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0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81261.63798742072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9441561.9049595054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268140.35810084996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9354137.9513317719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265657.51781782234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9267523.4980541747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263197.66734473855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hlSwDVgIKDdoOnG7ZQX29hRHhqw4JDQdmiG6ACuOJw1DpSx0bfpW0DtyIBygMQqyWOmhFjnEgaax2TolKCJPPg==" saltValue="IOHXV7hS1YJ8A/kNj1aS0w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7.4850416524711808E-3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0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I98A06x9ciORqx0XzL165s7q4mOLW4F8M19cV2GI8Nr5yWnP2+BVc4/NOEvTtqug8LfU2mP/NzwiBynwKtml1A==" saltValue="Pvjx8fF6/XLQODxu4LlDxQ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2019-09-03T11:03:05Z</dcterms:modified>
</cp:coreProperties>
</file>