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Rødovre AS (V09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3" i="11" l="1"/>
  <c r="C10" i="37" s="1"/>
  <c r="C11" i="37" s="1"/>
  <c r="C12" i="37" s="1"/>
  <c r="C10" i="2" s="1"/>
  <c r="G13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3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<sst xmlns="http://schemas.openxmlformats.org/spreadsheetml/2006/main" count="597" uniqueCount="246">
  <si>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</si>
  <si>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</si>
  <si>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</si>
  <si>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</si>
  <si>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</si>
  <si>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</si>
  <si>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</si>
  <si>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</si>
  <si>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</si>
  <si>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</si>
  <si>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</si>
  <si>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</si>
  <si>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</si>
  <si>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</si>
  <si>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</si>
  <si>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</si>
  <si>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</si>
  <si>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</si>
  <si>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</si>
  <si>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</si>
  <si>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</si>
  <si>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</si>
  <si>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</si>
  <si>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</si>
  <si>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</si>
  <si>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</si>
  <si>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</si>
  <si>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</si>
  <si>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</si>
  <si>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</si>
  <si>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</si>
  <si>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</si>
  <si>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</si>
  <si>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</si>
  <si>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</si>
  <si>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</si>
  <si>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</si>
  <si>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</si>
  <si>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</si>
  <si>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</si>
  <si>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</si>
  <si>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</si>
  <si>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</si>
  <si>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</si>
  <si>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</si>
  <si>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</si>
  <si>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</si>
  <si>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</si>
  <si>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</si>
  <si>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</si>
  <si>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</si>
  <si>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</si>
  <si>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</si>
  <si>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</si>
  <si>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</si>
  <si>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</si>
  <si>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</si>
  <si>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</si>
  <si>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</si>
  <si>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</si>
  <si>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</si>
  <si>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</si>
  <si>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</si>
  <si>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</si>
  <si>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</si>
  <si>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</si>
  <si>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</si>
  <si>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</si>
  <si>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</si>
  <si>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</si>
  <si>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</si>
  <si>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</si>
  <si>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</si>
  <si>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</si>
  <si>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</si>
  <si>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</si>
  <si>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</si>
  <si>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</si>
  <si>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</si>
  <si>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</si>
  <si>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</si>
  <si>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</si>
  <si>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</si>
  <si>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</si>
  <si>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</si>
  <si>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</si>
  <si>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</si>
  <si>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</si>
  <si>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</si>
  <si>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</si>
  <si>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</si>
  <si>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</si>
  <si>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</si>
  <si>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</si>
  <si>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</si>
  <si>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</si>
  <si>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</si>
  <si>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</si>
  <si>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</si>
  <si>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</si>
  <si>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</si>
  <si>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</si>
  <si>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</si>
  <si>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</si>
  <si>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</si>
  <si>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</si>
  <si>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</si>
  <si>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</si>
  <si>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</si>
  <si>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</si>
  <si>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</si>
  <si>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</si>
  <si>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</si>
  <si>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</si>
  <si>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</si>
  <si>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</si>
  <si>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</si>
  <si>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</si>
  <si>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</si>
  <si>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</si>
  <si>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</si>
  <si>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</si>
  <si>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</si>
  <si>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</si>
  <si>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</si>
  <si>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</si>
  <si>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</si>
  <si>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</si>
  <si>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</si>
  <si>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</si>
  <si>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</si>
  <si>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</si>
  <si>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</si>
  <si>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</si>
  <si>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</si>
  <si>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</si>
  <si>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</si>
  <si>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</si>
  <si>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</si>
  <si>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</si>
  <si>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</si>
  <si>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</si>
  <si>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</si>
  <si>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</si>
  <si>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</si>
  <si>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</si>
  <si>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</si>
  <si>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</si>
  <si>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</si>
  <si>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</si>
  <si>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</si>
  <si>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</si>
  <si>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</si>
  <si>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</si>
  <si>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</si>
  <si>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</si>
  <si>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</si>
  <si>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</si>
  <si>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</si>
  <si>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</si>
  <si>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</si>
  <si>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</si>
  <si>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</si>
  <si>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</si>
  <si>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</si>
  <si>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</si>
  <si>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</si>
  <si>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</si>
  <si>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</si>
  <si>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</si>
  <si>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</si>
  <si>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</si>
  <si>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</si>
  <si>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</si>
  <si>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</si>
  <si>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</si>
  <si>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</si>
  <si>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</si>
  <si>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</si>
  <si>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</si>
  <si>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</si>
  <si>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</si>
  <si>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</si>
  <si>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</si>
  <si>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</si>
  <si>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</si>
  <si>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</si>
  <si>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</si>
  <si>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</si>
  <si>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</si>
  <si>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</si>
  <si>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</si>
  <si>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</si>
  <si>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</si>
  <si>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</si>
  <si>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</si>
  <si>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</si>
  <si>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</si>
  <si>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</si>
  <si>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</si>
  <si>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</si>
  <si>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</si>
  <si>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</si>
  <si>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</si>
  <si>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</si>
  <si>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</si>
  <si>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</si>
  <si>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</si>
  <si>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</si>
  <si>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</si>
  <si>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</si>
  <si>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</si>
  <si>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</si>
  <si>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</si>
  <si>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</si>
  <si>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</si>
  <si>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</si>
  <si>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</si>
  <si>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</si>
  <si>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</si>
  <si>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</si>
  <si>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</si>
  <si>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</si>
  <si>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</si>
  <si>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</si>
  <si>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</si>
  <si>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</si>
  <si>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</si>
  <si>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</si>
  <si>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</si>
  <si>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</si>
  <si>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</si>
  <si>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</si>
  <si>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</si>
  <si>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SRO-anlæg, vandværk</t>
  </si>
  <si>
    <t>Software HOMIS</t>
  </si>
  <si>
    <t>Software FAS til SAP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</si>
  <si>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</si>
  <si>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</si>
  <si>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</si>
  <si>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</si>
  <si>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</si>
  <si>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</si>
  <si>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engangstillæg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</si>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</sst>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4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4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4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4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4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4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4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4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4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4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4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VkYyb0eK5+d05dkjuiC9sEEh8YdvMNWrOejFlxjwMJTgHcRxt1k0ZMKo2I9P+gu+4Y0ggMU9JsXcWJ98TSEoCw==" saltValue="PUv69Or9EGf+mWpIvqN9YA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204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69</v>
      </c>
      <c r="C8" s="96"/>
      <c r="D8" s="97"/>
      <c r="E8" s="1"/>
      <c r="F8" s="1"/>
    </row>
    <row r="9" spans="1:6" ht="15" customHeight="1" x14ac:dyDescent="0.45">
      <c r="A9" s="1"/>
      <c r="B9" s="45" t="s">
        <v>48</v>
      </c>
      <c r="C9" s="11" t="s">
        <v>70</v>
      </c>
      <c r="D9" s="11"/>
      <c r="E9" s="1"/>
      <c r="F9" s="1"/>
    </row>
    <row r="10" spans="1:6" x14ac:dyDescent="0.45">
      <c r="A10" s="1"/>
      <c r="B10" s="48" t="s">
        <v>238</v>
      </c>
      <c r="C10" s="9">
        <v>11659114</v>
      </c>
      <c r="D10" s="14" t="s">
        <v>3</v>
      </c>
      <c r="E10" s="1"/>
      <c r="F10" s="1"/>
    </row>
    <row r="11" spans="1:6" x14ac:dyDescent="0.45">
      <c r="A11" s="1"/>
      <c r="B11" s="48" t="s">
        <v>239</v>
      </c>
      <c r="C11" s="9">
        <v>44469</v>
      </c>
      <c r="D11" s="14" t="s">
        <v>3</v>
      </c>
      <c r="E11" s="1"/>
      <c r="F11" s="1"/>
    </row>
    <row r="12" spans="1:6" ht="26.65" x14ac:dyDescent="0.45">
      <c r="A12" s="1"/>
      <c r="B12" s="44" t="s">
        <v>240</v>
      </c>
      <c r="C12" s="9">
        <v>6368838</v>
      </c>
      <c r="D12" s="14" t="s">
        <v>3</v>
      </c>
      <c r="E12" s="1"/>
      <c r="F12" s="1"/>
    </row>
    <row r="13" spans="1:6" x14ac:dyDescent="0.45">
      <c r="A13" s="1"/>
      <c r="B13" s="48" t="s">
        <v>241</v>
      </c>
      <c r="C13" s="9">
        <v>20696</v>
      </c>
      <c r="D13" s="14" t="s">
        <v>3</v>
      </c>
      <c r="E13" s="1"/>
      <c r="F13" s="1"/>
    </row>
    <row r="14" spans="1:6" x14ac:dyDescent="0.45">
      <c r="A14" s="1"/>
      <c r="B14" s="48" t="s">
        <v>242</v>
      </c>
      <c r="C14" s="9">
        <v>582311</v>
      </c>
      <c r="D14" s="14" t="s">
        <v>3</v>
      </c>
      <c r="E14" s="1"/>
      <c r="F14" s="1"/>
    </row>
    <row r="15" spans="1:6" x14ac:dyDescent="0.45">
      <c r="A15" s="1"/>
      <c r="B15" s="39" t="s">
        <v>71</v>
      </c>
      <c r="C15" s="12">
        <f>SUM(C10:C14)</f>
        <v>18675428</v>
      </c>
      <c r="D15" s="13" t="s">
        <v>3</v>
      </c>
      <c r="E15" s="1"/>
      <c r="F15" s="1"/>
    </row>
    <row r="16" spans="1:6" x14ac:dyDescent="0.45">
      <c r="A16" s="1"/>
      <c r="B16" s="39" t="s">
        <v>72</v>
      </c>
      <c r="C16" s="12">
        <f>C15*(1+'Fane 14. Nøgletal'!C12)^2</f>
        <v>19418487.610052522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S+gYZwDXhGw6sWzNeZ86haxghVCeo2n1VKSg1ZxlDWuCyv22tg8wvhpqOBY+Pg6erJHigOa0On2iu5gskE8npw==" saltValue="tA+bwXzeMqUAQ6zl3A8jZ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ht="15" customHeight="1" x14ac:dyDescent="0.45">
      <c r="A5" s="1"/>
      <c r="B5" s="43"/>
      <c r="C5" s="43"/>
      <c r="D5" s="43"/>
      <c r="E5" s="43"/>
      <c r="F5" s="43"/>
      <c r="G5" s="1"/>
    </row>
    <row r="6" spans="1:7" ht="15" customHeight="1" x14ac:dyDescent="0.4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50</v>
      </c>
      <c r="C7" s="99"/>
      <c r="D7" s="100"/>
      <c r="E7" s="9">
        <v>-219085.22999999998</v>
      </c>
      <c r="F7" s="14" t="s">
        <v>3</v>
      </c>
      <c r="G7" s="1"/>
    </row>
    <row r="8" spans="1:7" ht="15" customHeight="1" x14ac:dyDescent="0.45">
      <c r="A8" s="1"/>
      <c r="B8" s="98" t="s">
        <v>51</v>
      </c>
      <c r="C8" s="99"/>
      <c r="D8" s="100"/>
      <c r="E8" s="9">
        <v>-173521.32904018089</v>
      </c>
      <c r="F8" s="14" t="s">
        <v>3</v>
      </c>
      <c r="G8" s="1"/>
    </row>
    <row r="9" spans="1:7" ht="15" customHeight="1" x14ac:dyDescent="0.45">
      <c r="A9" s="1"/>
      <c r="B9" s="106" t="s">
        <v>186</v>
      </c>
      <c r="C9" s="107"/>
      <c r="D9" s="108"/>
      <c r="E9" s="10">
        <f>SUM(E7:E8)</f>
        <v>-392606.55904018087</v>
      </c>
      <c r="F9" s="17" t="s">
        <v>3</v>
      </c>
      <c r="G9" s="1"/>
    </row>
    <row r="10" spans="1:7" ht="15" customHeight="1" x14ac:dyDescent="0.45">
      <c r="A10" s="1"/>
      <c r="B10" s="39"/>
      <c r="C10" s="40"/>
      <c r="D10" s="40"/>
      <c r="E10" s="40"/>
      <c r="F10" s="22"/>
      <c r="G10" s="1"/>
    </row>
    <row r="11" spans="1:7" ht="28.5" customHeight="1" x14ac:dyDescent="0.45">
      <c r="A11" s="1"/>
      <c r="B11" s="74" t="s">
        <v>188</v>
      </c>
      <c r="C11" s="75"/>
      <c r="D11" s="75"/>
      <c r="E11" s="75"/>
      <c r="F11" s="76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165</v>
      </c>
      <c r="C14" s="96"/>
      <c r="D14" s="96"/>
      <c r="E14" s="96"/>
      <c r="F14" s="97"/>
      <c r="G14" s="1"/>
    </row>
    <row r="15" spans="1:7" x14ac:dyDescent="0.45">
      <c r="A15" s="1"/>
      <c r="B15" s="98" t="s">
        <v>166</v>
      </c>
      <c r="C15" s="99"/>
      <c r="D15" s="100"/>
      <c r="E15" s="9">
        <v>28387084.137551337</v>
      </c>
      <c r="F15" s="14" t="s">
        <v>3</v>
      </c>
      <c r="G15" s="1"/>
    </row>
    <row r="16" spans="1:7" x14ac:dyDescent="0.45">
      <c r="A16" s="1"/>
      <c r="B16" s="98" t="s">
        <v>167</v>
      </c>
      <c r="C16" s="99"/>
      <c r="D16" s="100"/>
      <c r="E16" s="9">
        <v>27326774</v>
      </c>
      <c r="F16" s="14" t="s">
        <v>3</v>
      </c>
      <c r="G16" s="1"/>
    </row>
    <row r="17" spans="1:7" x14ac:dyDescent="0.4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45">
      <c r="A18" s="1"/>
      <c r="B18" s="106" t="s">
        <v>187</v>
      </c>
      <c r="C18" s="107"/>
      <c r="D18" s="108"/>
      <c r="E18" s="10">
        <f>E15-(E16-E17)</f>
        <v>1060310.1375513375</v>
      </c>
      <c r="F18" s="17" t="s">
        <v>3</v>
      </c>
      <c r="G18" s="1"/>
    </row>
    <row r="19" spans="1:7" x14ac:dyDescent="0.45">
      <c r="A19" s="1"/>
      <c r="B19" s="39"/>
      <c r="C19" s="40"/>
      <c r="D19" s="40"/>
      <c r="E19" s="40"/>
      <c r="F19" s="22"/>
      <c r="G19" s="1"/>
    </row>
    <row r="20" spans="1:7" ht="30" customHeight="1" x14ac:dyDescent="0.45">
      <c r="A20" s="1"/>
      <c r="B20" s="74" t="s">
        <v>189</v>
      </c>
      <c r="C20" s="75"/>
      <c r="D20" s="75"/>
      <c r="E20" s="75"/>
      <c r="F20" s="76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95" t="s">
        <v>77</v>
      </c>
      <c r="C23" s="96"/>
      <c r="D23" s="96"/>
      <c r="E23" s="96"/>
      <c r="F23" s="97"/>
      <c r="G23" s="1"/>
    </row>
    <row r="24" spans="1:7" x14ac:dyDescent="0.45">
      <c r="A24" s="1"/>
      <c r="B24" s="98" t="s">
        <v>78</v>
      </c>
      <c r="C24" s="99"/>
      <c r="D24" s="100"/>
      <c r="E24" s="9">
        <v>31642732.090306923</v>
      </c>
      <c r="F24" s="14" t="s">
        <v>3</v>
      </c>
      <c r="G24" s="1"/>
    </row>
    <row r="25" spans="1:7" x14ac:dyDescent="0.45">
      <c r="A25" s="1"/>
      <c r="B25" s="98" t="s">
        <v>79</v>
      </c>
      <c r="C25" s="99"/>
      <c r="D25" s="100"/>
      <c r="E25" s="9">
        <v>28708526</v>
      </c>
      <c r="F25" s="14" t="s">
        <v>3</v>
      </c>
      <c r="G25" s="1"/>
    </row>
    <row r="26" spans="1:7" x14ac:dyDescent="0.4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45">
      <c r="A27" s="1"/>
      <c r="B27" s="106" t="s">
        <v>187</v>
      </c>
      <c r="C27" s="107"/>
      <c r="D27" s="108"/>
      <c r="E27" s="10">
        <f>E24-(E25-E26)</f>
        <v>2934206.0903069228</v>
      </c>
      <c r="F27" s="17" t="s">
        <v>3</v>
      </c>
      <c r="G27" s="1"/>
    </row>
    <row r="28" spans="1:7" x14ac:dyDescent="0.45">
      <c r="A28" s="1"/>
      <c r="B28" s="39"/>
      <c r="C28" s="40"/>
      <c r="D28" s="40"/>
      <c r="E28" s="40"/>
      <c r="F28" s="22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95" t="s">
        <v>244</v>
      </c>
      <c r="C31" s="96"/>
      <c r="D31" s="96"/>
      <c r="E31" s="96"/>
      <c r="F31" s="97"/>
      <c r="G31" s="1"/>
    </row>
    <row r="32" spans="1:7" x14ac:dyDescent="0.45">
      <c r="A32" s="1"/>
      <c r="B32" s="106" t="s">
        <v>245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0</v>
      </c>
      <c r="F32" s="17" t="s">
        <v>3</v>
      </c>
      <c r="G32" s="1"/>
    </row>
    <row r="33" spans="1:7" x14ac:dyDescent="0.45">
      <c r="A33" s="1"/>
      <c r="B33" s="95"/>
      <c r="C33" s="96"/>
      <c r="D33" s="96"/>
      <c r="E33" s="96"/>
      <c r="F33" s="97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180</v>
      </c>
      <c r="C36" s="96"/>
      <c r="D36" s="96"/>
      <c r="E36" s="96"/>
      <c r="F36" s="97"/>
      <c r="G36" s="1"/>
    </row>
    <row r="37" spans="1:7" x14ac:dyDescent="0.4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4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4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XhCGgWWYGghiPAAv543xlAmDw6fEdhIwHmDc7ecuyZ2Z+9JWmqopHsdgq71KZmpsVKzBtrsXTD5I10FDQFipSQ==" saltValue="6t/4Er++r3YOLF3TOjqwqQ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1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4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4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IrBa4eYUVVRSwiF5vcq/rTXRRvnkkm3Q0RhRieTZCgSSd6jy6HgSrniJfpe+SYfbrm2KVrk1Xr5WyXtI5z+ifQ==" saltValue="YusJzbk7S+b2JU7CnbD7v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45">
      <c r="A10" s="1"/>
      <c r="B10" s="115" t="s">
        <v>234</v>
      </c>
      <c r="C10" s="116">
        <v>10</v>
      </c>
      <c r="D10" s="9">
        <v>975852</v>
      </c>
      <c r="E10" s="9">
        <f>IFERROR(D10/C10,0)</f>
        <v>97585.2</v>
      </c>
      <c r="F10" s="9">
        <v>0</v>
      </c>
      <c r="G10" s="9">
        <v>10878</v>
      </c>
      <c r="H10" s="14" t="s">
        <v>3</v>
      </c>
      <c r="I10" s="1"/>
    </row>
    <row r="11" spans="1:9" x14ac:dyDescent="0.45">
      <c r="A11" s="1"/>
      <c r="B11" s="115" t="s">
        <v>235</v>
      </c>
      <c r="C11" s="116">
        <v>5</v>
      </c>
      <c r="D11" s="9">
        <v>8567</v>
      </c>
      <c r="E11" s="9">
        <f t="shared" ref="E11:E12" si="0">IFERROR(D11/C11,0)</f>
        <v>1713.4</v>
      </c>
      <c r="F11" s="9">
        <v>0</v>
      </c>
      <c r="G11" s="9">
        <v>95</v>
      </c>
      <c r="H11" s="14" t="s">
        <v>3</v>
      </c>
      <c r="I11" s="1"/>
    </row>
    <row r="12" spans="1:9" x14ac:dyDescent="0.45">
      <c r="A12" s="1"/>
      <c r="B12" s="115" t="s">
        <v>236</v>
      </c>
      <c r="C12" s="116">
        <v>5</v>
      </c>
      <c r="D12" s="9">
        <v>2183539</v>
      </c>
      <c r="E12" s="9">
        <f t="shared" si="0"/>
        <v>436707.8</v>
      </c>
      <c r="F12" s="9">
        <v>0</v>
      </c>
      <c r="G12" s="9">
        <v>24339</v>
      </c>
      <c r="H12" s="14" t="s">
        <v>3</v>
      </c>
      <c r="I12" s="1"/>
    </row>
    <row r="13" spans="1:9" x14ac:dyDescent="0.45">
      <c r="A13" s="1"/>
      <c r="B13" s="95" t="s">
        <v>231</v>
      </c>
      <c r="C13" s="96"/>
      <c r="D13" s="97"/>
      <c r="E13" s="12">
        <f>SUM(E10:E12)</f>
        <v>536006.40000000002</v>
      </c>
      <c r="F13" s="12">
        <f t="shared" ref="F13:G13" si="1">SUM(F10:F12)</f>
        <v>0</v>
      </c>
      <c r="G13" s="12">
        <f t="shared" si="1"/>
        <v>35312</v>
      </c>
      <c r="H13" s="13" t="s">
        <v>3</v>
      </c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qSOCUxg2cbTGvOniIkyQno00fWO+tBWX7MU29GSpWjrEIsFW1wQmrpIP3yFrVoVGFTahkcUyNKX5TwFfiYfSLg==" saltValue="B9Pr1899izZDlcdibAaAjA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237</v>
      </c>
      <c r="C10" s="24">
        <f>'Fane 9. Anlægsprojekter'!F13</f>
        <v>0</v>
      </c>
      <c r="D10" s="14" t="s">
        <v>3</v>
      </c>
      <c r="E10" s="9">
        <f>SUM('Fane 9. Anlægsprojekter'!E13,'Fane 9. Anlægsprojekter'!G13)</f>
        <v>571318.4</v>
      </c>
      <c r="F10" s="14" t="s">
        <v>3</v>
      </c>
      <c r="G10" s="1"/>
    </row>
    <row r="11" spans="1:7" x14ac:dyDescent="0.45">
      <c r="A11" s="1"/>
      <c r="B11" s="39" t="s">
        <v>63</v>
      </c>
      <c r="C11" s="12">
        <f>SUM(C10:C10)</f>
        <v>0</v>
      </c>
      <c r="D11" s="13" t="s">
        <v>3</v>
      </c>
      <c r="E11" s="12">
        <f>SUM(E10:E10)</f>
        <v>571318.4</v>
      </c>
      <c r="F11" s="13" t="s">
        <v>3</v>
      </c>
      <c r="G11" s="1"/>
    </row>
    <row r="12" spans="1:7" x14ac:dyDescent="0.45">
      <c r="A12" s="1"/>
      <c r="B12" s="39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582573.37248000002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DW6Bg6zOgoQcuNSPlatPwDLsTalzOA2FKHM+YwX99ptltu3bLjq+mpaGGHKNprRo5aP4xhVZUpI3vlKFPOb1LQ==" saltValue="3lFmtAMSsGFqrReMbbpY/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168</v>
      </c>
      <c r="C8" s="96"/>
      <c r="D8" s="96"/>
      <c r="E8" s="96"/>
      <c r="F8" s="97"/>
      <c r="G8" s="1"/>
    </row>
    <row r="9" spans="1:7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243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4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4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169</v>
      </c>
      <c r="C16" s="96"/>
      <c r="D16" s="96"/>
      <c r="E16" s="96"/>
      <c r="F16" s="97"/>
      <c r="G16" s="1"/>
    </row>
    <row r="17" spans="1:7" x14ac:dyDescent="0.4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45">
      <c r="A18" s="1"/>
      <c r="B18" s="27" t="s">
        <v>243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4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4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170</v>
      </c>
      <c r="C24" s="96"/>
      <c r="D24" s="96"/>
      <c r="E24" s="96"/>
      <c r="F24" s="97"/>
      <c r="G24" s="1"/>
    </row>
    <row r="25" spans="1:7" x14ac:dyDescent="0.4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45">
      <c r="A26" s="1"/>
      <c r="B26" s="27" t="s">
        <v>243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4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4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171</v>
      </c>
      <c r="C32" s="96"/>
      <c r="D32" s="96"/>
      <c r="E32" s="96"/>
      <c r="F32" s="97"/>
      <c r="G32" s="1"/>
    </row>
    <row r="33" spans="1:7" x14ac:dyDescent="0.4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45">
      <c r="A34" s="1"/>
      <c r="B34" s="27" t="s">
        <v>243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4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4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ISwTgrSE52KE7Zq5/ZOF8novgQ7U0fOvjJahwhURxKhFjq62fAKmHRDmqL8H0VLUc0Re7XE5UO4w6Jt3TFJNxQ==" saltValue="W3Ur94sGuauatNAnWcDDL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4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g5LAHQKD7bxufOJ+hP42u2x2HEJep3Wgf0ESHH5qgw98smM7WBjvbn+aTDYnWvyztlEgoZCuZIOmgQCjkAK85Q==" saltValue="9k0j1gM+yZAQWdqi0IeWE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4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157</v>
      </c>
      <c r="C15" s="96"/>
      <c r="D15" s="96"/>
      <c r="E15" s="96"/>
      <c r="F15" s="97"/>
      <c r="G15" s="1"/>
    </row>
    <row r="16" spans="1:7" x14ac:dyDescent="0.4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4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155</v>
      </c>
      <c r="C22" s="96"/>
      <c r="D22" s="96"/>
      <c r="E22" s="96"/>
      <c r="F22" s="97"/>
      <c r="G22" s="1"/>
    </row>
    <row r="23" spans="1:7" x14ac:dyDescent="0.4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4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158</v>
      </c>
      <c r="C29" s="96"/>
      <c r="D29" s="96"/>
      <c r="E29" s="96"/>
      <c r="F29" s="97"/>
      <c r="G29" s="1"/>
    </row>
    <row r="30" spans="1:7" x14ac:dyDescent="0.4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4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JQFCi01p4msObTBSBlJJQgmYoZz6LxS7kYIRsBWiiQF02+zoxSzXYmAzmq6NIWumxj5ARCi9Dkod6VK/SmfwFA==" saltValue="XbM+Y8viUGjC5GhlX5bV0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</v>
      </c>
      <c r="C9" s="99"/>
      <c r="D9" s="99"/>
      <c r="E9" s="99"/>
      <c r="F9" s="100"/>
      <c r="G9" s="9">
        <v>8111932</v>
      </c>
      <c r="H9" s="14" t="s">
        <v>3</v>
      </c>
      <c r="I9" s="1"/>
    </row>
    <row r="10" spans="1:9" x14ac:dyDescent="0.4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45">
      <c r="A11" s="1"/>
      <c r="B11" s="98" t="s">
        <v>80</v>
      </c>
      <c r="C11" s="99"/>
      <c r="D11" s="99"/>
      <c r="E11" s="99"/>
      <c r="F11" s="100"/>
      <c r="G11" s="9">
        <v>-8111931.5333333332</v>
      </c>
      <c r="H11" s="14" t="s">
        <v>3</v>
      </c>
      <c r="I11" s="1"/>
    </row>
    <row r="12" spans="1:9" x14ac:dyDescent="0.45">
      <c r="A12" s="1"/>
      <c r="B12" s="112" t="s">
        <v>15</v>
      </c>
      <c r="C12" s="113"/>
      <c r="D12" s="113"/>
      <c r="E12" s="113"/>
      <c r="F12" s="114"/>
      <c r="G12" s="19">
        <f>(G9+G10)+G11</f>
        <v>0.46666666679084301</v>
      </c>
      <c r="H12" s="18" t="s">
        <v>3</v>
      </c>
      <c r="I12" s="1"/>
    </row>
    <row r="13" spans="1:9" x14ac:dyDescent="0.4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4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R5eCZ8pG2X6zL1d6DugWNlcksiWe+pIiOklWy5XIWi7K1OGSOnbNmuIYqaYoIp+nUwklPj3O5kc3S4NTZqmCg==" saltValue="g0EwpUOrB7KlNX+HE/E9B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9" t="s">
        <v>54</v>
      </c>
      <c r="C3" s="89"/>
      <c r="D3" s="1"/>
    </row>
    <row r="4" spans="1:4" ht="25.5" customHeight="1" x14ac:dyDescent="0.45">
      <c r="A4" s="1"/>
      <c r="B4" s="89"/>
      <c r="C4" s="8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9" t="s">
        <v>21</v>
      </c>
      <c r="C8" s="22"/>
      <c r="D8" s="1"/>
    </row>
    <row r="9" spans="1:4" x14ac:dyDescent="0.45">
      <c r="A9" s="1"/>
      <c r="B9" s="48" t="s">
        <v>211</v>
      </c>
      <c r="C9" s="28">
        <v>1.2699999999999999E-2</v>
      </c>
      <c r="D9" s="1"/>
    </row>
    <row r="10" spans="1:4" x14ac:dyDescent="0.45">
      <c r="A10" s="1"/>
      <c r="B10" s="48" t="s">
        <v>30</v>
      </c>
      <c r="C10" s="28">
        <v>1.7500000000000002E-2</v>
      </c>
      <c r="D10" s="1"/>
    </row>
    <row r="11" spans="1:4" x14ac:dyDescent="0.45">
      <c r="A11" s="1"/>
      <c r="B11" s="48" t="s">
        <v>212</v>
      </c>
      <c r="C11" s="28">
        <v>1.6899999999999998E-2</v>
      </c>
      <c r="D11" s="1"/>
    </row>
    <row r="12" spans="1:4" x14ac:dyDescent="0.45">
      <c r="A12" s="1"/>
      <c r="B12" s="35" t="s">
        <v>73</v>
      </c>
      <c r="C12" s="36">
        <v>1.9699999999999999E-2</v>
      </c>
      <c r="D12" s="1"/>
    </row>
    <row r="13" spans="1:4" x14ac:dyDescent="0.45">
      <c r="A13" s="1"/>
      <c r="B13" s="95"/>
      <c r="C13" s="97"/>
      <c r="D13" s="1"/>
    </row>
    <row r="14" spans="1:4" x14ac:dyDescent="0.45">
      <c r="A14" s="1"/>
      <c r="B14" s="1"/>
      <c r="C14" s="1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39" t="s">
        <v>181</v>
      </c>
      <c r="C16" s="22"/>
      <c r="D16" s="1"/>
    </row>
    <row r="17" spans="1:4" x14ac:dyDescent="0.45">
      <c r="A17" s="1"/>
      <c r="B17" s="48" t="s">
        <v>213</v>
      </c>
      <c r="C17" s="25">
        <v>9.1000000000000004E-3</v>
      </c>
      <c r="D17" s="1"/>
    </row>
    <row r="18" spans="1:4" x14ac:dyDescent="0.45">
      <c r="A18" s="1"/>
      <c r="B18" s="48" t="s">
        <v>214</v>
      </c>
      <c r="C18" s="25">
        <v>1.77E-2</v>
      </c>
      <c r="D18" s="1"/>
    </row>
    <row r="19" spans="1:4" x14ac:dyDescent="0.45">
      <c r="A19" s="1"/>
      <c r="B19" s="48" t="s">
        <v>215</v>
      </c>
      <c r="C19" s="25">
        <v>8.6999999999999994E-3</v>
      </c>
      <c r="D19" s="1"/>
    </row>
    <row r="20" spans="1:4" x14ac:dyDescent="0.45">
      <c r="A20" s="1"/>
      <c r="B20" s="48" t="s">
        <v>216</v>
      </c>
      <c r="C20" s="37">
        <v>2.8400000000000002E-2</v>
      </c>
      <c r="D20" s="1"/>
    </row>
    <row r="21" spans="1:4" x14ac:dyDescent="0.45">
      <c r="A21" s="1"/>
      <c r="B21" s="39"/>
      <c r="C21" s="22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39" t="s">
        <v>182</v>
      </c>
      <c r="C24" s="22"/>
      <c r="D24" s="1"/>
    </row>
    <row r="25" spans="1:4" x14ac:dyDescent="0.45">
      <c r="A25" s="1"/>
      <c r="B25" s="48" t="s">
        <v>217</v>
      </c>
      <c r="C25" s="28">
        <v>0.02</v>
      </c>
      <c r="D25" s="1"/>
    </row>
    <row r="26" spans="1:4" x14ac:dyDescent="0.45">
      <c r="A26" s="1"/>
      <c r="B26" s="39"/>
      <c r="C26" s="22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NFUUXqP6Eg0rEq2GyKtMiErv7VtCJv0HxcbZu3iTstmNHLwKIMFiGPgl+RlCBCK7+pczx4NRdHcLcY6uyQceAA==" saltValue="m1Rc3pxAqy+xSYE9Nt7cPA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65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x14ac:dyDescent="0.45">
      <c r="A9" s="1"/>
      <c r="B9" s="44" t="s">
        <v>34</v>
      </c>
      <c r="C9" s="7">
        <f>'Fane 3. Omkostninger i ØR2019'!E22</f>
        <v>12568148.827212842</v>
      </c>
      <c r="D9" s="8" t="s">
        <v>3</v>
      </c>
      <c r="E9" s="1"/>
    </row>
    <row r="10" spans="1:5" ht="17.100000000000001" customHeight="1" x14ac:dyDescent="0.4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2" t="s">
        <v>68</v>
      </c>
      <c r="C11" s="9">
        <f>'Fane 10.1. Varige tillæg'!E12</f>
        <v>582573.37248000002</v>
      </c>
      <c r="D11" s="8" t="s">
        <v>3</v>
      </c>
      <c r="E11" s="1"/>
    </row>
    <row r="12" spans="1:5" ht="17.100000000000001" customHeight="1" x14ac:dyDescent="0.4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4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45">
      <c r="A16" s="1"/>
      <c r="B16" s="32" t="s">
        <v>26</v>
      </c>
      <c r="C16" s="9">
        <f>C9*'Fane 14. Nøgletal'!C11+SUM(C10:C15)*'Fane 14. Nøgletal'!C12</f>
        <v>223878.41061775299</v>
      </c>
      <c r="D16" s="8" t="s">
        <v>3</v>
      </c>
      <c r="E16" s="1"/>
    </row>
    <row r="17" spans="1:5" ht="17.100000000000001" customHeight="1" x14ac:dyDescent="0.45">
      <c r="A17" s="1"/>
      <c r="B17" s="32" t="s">
        <v>10</v>
      </c>
      <c r="C17" s="9">
        <f>-SUM(C9:C16)*'Fane 5. Individuelt eff. krav'!G10</f>
        <v>-267492.01220621192</v>
      </c>
      <c r="D17" s="8" t="s">
        <v>3</v>
      </c>
      <c r="E17" s="1"/>
    </row>
    <row r="18" spans="1:5" ht="17.100000000000001" customHeight="1" x14ac:dyDescent="0.45">
      <c r="A18" s="1"/>
      <c r="B18" s="32" t="s">
        <v>38</v>
      </c>
      <c r="C18" s="9">
        <f>-'Fane 4.1. Gen. krav - drift'!G26</f>
        <v>-169142.48065882656</v>
      </c>
      <c r="D18" s="8" t="s">
        <v>3</v>
      </c>
      <c r="E18" s="1"/>
    </row>
    <row r="19" spans="1:5" ht="17.100000000000001" customHeight="1" x14ac:dyDescent="0.45">
      <c r="A19" s="1"/>
      <c r="B19" s="32" t="s">
        <v>39</v>
      </c>
      <c r="C19" s="9">
        <f>-'Fane 4.2. Gen. krav - anlæg'!G25</f>
        <v>-58138.670293578551</v>
      </c>
      <c r="D19" s="8" t="s">
        <v>3</v>
      </c>
      <c r="E19" s="1"/>
    </row>
    <row r="20" spans="1:5" ht="17.100000000000001" customHeight="1" x14ac:dyDescent="0.45">
      <c r="A20" s="1"/>
      <c r="B20" s="50" t="s">
        <v>28</v>
      </c>
      <c r="C20" s="10">
        <f>SUM(C9:C19)</f>
        <v>12879827.447151978</v>
      </c>
      <c r="D20" s="11" t="s">
        <v>3</v>
      </c>
      <c r="E20" s="1"/>
    </row>
    <row r="21" spans="1:5" ht="15" customHeight="1" x14ac:dyDescent="0.45">
      <c r="A21" s="1"/>
      <c r="B21" s="39" t="s">
        <v>17</v>
      </c>
      <c r="C21" s="40"/>
      <c r="D21" s="22"/>
      <c r="E21" s="1"/>
    </row>
    <row r="22" spans="1:5" ht="15" customHeight="1" x14ac:dyDescent="0.45">
      <c r="A22" s="1"/>
      <c r="B22" s="41" t="s">
        <v>17</v>
      </c>
      <c r="C22" s="10">
        <f>'Fane 6. Ikke-påvirkelige omk.'!C16</f>
        <v>19418487.610052522</v>
      </c>
      <c r="D22" s="11" t="s">
        <v>3</v>
      </c>
      <c r="E22" s="1"/>
    </row>
    <row r="23" spans="1:5" ht="15" customHeight="1" x14ac:dyDescent="0.45">
      <c r="A23" s="1"/>
      <c r="B23" s="39" t="s">
        <v>142</v>
      </c>
      <c r="C23" s="40"/>
      <c r="D23" s="22"/>
      <c r="E23" s="1"/>
    </row>
    <row r="24" spans="1:5" ht="15" customHeight="1" x14ac:dyDescent="0.4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4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4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45">
      <c r="A27" s="1"/>
      <c r="B27" s="39" t="s">
        <v>11</v>
      </c>
      <c r="C27" s="40"/>
      <c r="D27" s="22"/>
      <c r="E27" s="1"/>
    </row>
    <row r="28" spans="1:5" ht="15" customHeight="1" x14ac:dyDescent="0.4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45">
      <c r="A29" s="1"/>
      <c r="B29" s="39" t="s">
        <v>53</v>
      </c>
      <c r="C29" s="40"/>
      <c r="D29" s="22"/>
      <c r="E29" s="1"/>
    </row>
    <row r="30" spans="1:5" x14ac:dyDescent="0.45">
      <c r="A30" s="1"/>
      <c r="B30" s="41" t="s">
        <v>218</v>
      </c>
      <c r="C30" s="10">
        <f>'Fane 7. Kontrol af ØR2018'!E32</f>
        <v>0</v>
      </c>
      <c r="D30" s="11" t="s">
        <v>3</v>
      </c>
      <c r="E30" s="1"/>
    </row>
    <row r="31" spans="1:5" x14ac:dyDescent="0.45">
      <c r="A31" s="1"/>
      <c r="B31" s="39" t="s">
        <v>225</v>
      </c>
      <c r="C31" s="40"/>
      <c r="D31" s="22"/>
      <c r="E31" s="1"/>
    </row>
    <row r="32" spans="1:5" x14ac:dyDescent="0.4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45">
      <c r="A33" s="1"/>
      <c r="B33" s="39" t="s">
        <v>35</v>
      </c>
      <c r="C33" s="33">
        <f>SUM(C20,C22,C26,C28,C30,C32)</f>
        <v>32298315.0572045</v>
      </c>
      <c r="D33" s="22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bdqeSaDoMuRhJGjlhKyD3UfyE69/sTMx/R6uwFXBY6yQyUcBtWwXy5ZqCXUr9noRXwizysGl7JkDUprykoDbrw==" saltValue="tVg4akuHexFTV4488B0o1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85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ht="15" customHeight="1" x14ac:dyDescent="0.45">
      <c r="A9" s="1"/>
      <c r="B9" s="44" t="s">
        <v>36</v>
      </c>
      <c r="C9" s="7">
        <f>'Fane 2.1. Økonomisk ramme 2020'!C20</f>
        <v>12879827.447151978</v>
      </c>
      <c r="D9" s="8" t="s">
        <v>3</v>
      </c>
      <c r="E9" s="1"/>
    </row>
    <row r="10" spans="1:5" ht="15" customHeight="1" x14ac:dyDescent="0.4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4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45">
      <c r="A12" s="1"/>
      <c r="B12" s="38" t="s">
        <v>26</v>
      </c>
      <c r="C12" s="9">
        <f>SUM(C9:C11)*'Fane 14. Nøgletal'!C12</f>
        <v>253732.60070889394</v>
      </c>
      <c r="D12" s="8" t="s">
        <v>3</v>
      </c>
      <c r="E12" s="1"/>
    </row>
    <row r="13" spans="1:5" ht="15" customHeight="1" x14ac:dyDescent="0.45">
      <c r="A13" s="1"/>
      <c r="B13" s="38" t="s">
        <v>10</v>
      </c>
      <c r="C13" s="9">
        <f>-SUM(C9:C12)*'Fane 5. Individuelt eff. krav'!G10</f>
        <v>-262671.20095721743</v>
      </c>
      <c r="D13" s="8" t="s">
        <v>3</v>
      </c>
      <c r="E13" s="1"/>
    </row>
    <row r="14" spans="1:5" ht="15" customHeight="1" x14ac:dyDescent="0.45">
      <c r="A14" s="1"/>
      <c r="B14" s="38" t="s">
        <v>38</v>
      </c>
      <c r="C14" s="9">
        <f>-'Fane 4.1. Gen. krav - drift'!G32</f>
        <v>-169025.09577724934</v>
      </c>
      <c r="D14" s="8" t="s">
        <v>3</v>
      </c>
      <c r="E14" s="1"/>
    </row>
    <row r="15" spans="1:5" ht="15" customHeight="1" x14ac:dyDescent="0.45">
      <c r="A15" s="1"/>
      <c r="B15" s="38" t="s">
        <v>39</v>
      </c>
      <c r="C15" s="9">
        <f>-'Fane 4.2. Gen. krav - anlæg'!G31</f>
        <v>-152886.34039723713</v>
      </c>
      <c r="D15" s="8" t="s">
        <v>3</v>
      </c>
      <c r="E15" s="1"/>
    </row>
    <row r="16" spans="1:5" ht="15" customHeight="1" x14ac:dyDescent="0.45">
      <c r="A16" s="1"/>
      <c r="B16" s="45" t="s">
        <v>28</v>
      </c>
      <c r="C16" s="10">
        <f>SUM(C9:C15)</f>
        <v>12548977.410729168</v>
      </c>
      <c r="D16" s="11" t="s">
        <v>3</v>
      </c>
      <c r="E16" s="1"/>
    </row>
    <row r="17" spans="1:5" x14ac:dyDescent="0.45">
      <c r="A17" s="1"/>
      <c r="B17" s="39" t="s">
        <v>17</v>
      </c>
      <c r="C17" s="40"/>
      <c r="D17" s="22"/>
      <c r="E17" s="1"/>
    </row>
    <row r="18" spans="1:5" ht="15" customHeight="1" x14ac:dyDescent="0.45">
      <c r="A18" s="1"/>
      <c r="B18" s="41" t="s">
        <v>17</v>
      </c>
      <c r="C18" s="10">
        <f>'Fane 6. Ikke-påvirkelige omk.'!C16*(1+'Fane 14. Nøgletal'!C12)</f>
        <v>19801031.815970559</v>
      </c>
      <c r="D18" s="11" t="s">
        <v>3</v>
      </c>
      <c r="E18" s="1"/>
    </row>
    <row r="19" spans="1:5" ht="15" customHeight="1" x14ac:dyDescent="0.45">
      <c r="A19" s="1"/>
      <c r="B19" s="39" t="s">
        <v>142</v>
      </c>
      <c r="C19" s="40"/>
      <c r="D19" s="22"/>
      <c r="E19" s="1"/>
    </row>
    <row r="20" spans="1:5" ht="15" customHeight="1" x14ac:dyDescent="0.4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4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9" t="s">
        <v>160</v>
      </c>
      <c r="C23" s="40"/>
      <c r="D23" s="22"/>
      <c r="E23" s="1"/>
    </row>
    <row r="24" spans="1:5" ht="15" customHeight="1" x14ac:dyDescent="0.4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45">
      <c r="A25" s="1"/>
      <c r="B25" s="39" t="s">
        <v>44</v>
      </c>
      <c r="C25" s="12">
        <f>SUM(C16,C18,C22,C24)</f>
        <v>32350009.226699725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oUj30jJKmxvQ4mKFSLvDIxe/maYcDci3iKy27/ivJW7Cpvbg7lpyeZ5aT7sADru9fQD5iOiT6hZ9A1Gz+qz/dg==" saltValue="6SB8zvHDaAWfWfixf1gNr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36</v>
      </c>
      <c r="C8" s="7">
        <f>'Fane 2.2. Økonomisk ramme 2021'!C16</f>
        <v>12548977.410729168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SUM(C8:C10)*'Fane 14. Nøgletal'!C12</f>
        <v>247214.85499136458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-255923.84531441066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drift'!G38</f>
        <v>-168907.79236077995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anlæg'!G37</f>
        <v>-151470.69238605571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12219889.935659286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omk.'!C16*(1+'Fane 14. Nøgletal'!C12)^2</f>
        <v>20191112.142745178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39" t="s">
        <v>160</v>
      </c>
      <c r="C22" s="40"/>
      <c r="D22" s="22"/>
      <c r="E22" s="1"/>
    </row>
    <row r="23" spans="1:5" ht="15" customHeight="1" x14ac:dyDescent="0.4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45">
      <c r="A24" s="1"/>
      <c r="B24" s="39" t="s">
        <v>45</v>
      </c>
      <c r="C24" s="12">
        <f>SUM(C15,C17,C21,C23)</f>
        <v>32411002.078404464</v>
      </c>
      <c r="D24" s="13" t="s">
        <v>3</v>
      </c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xPUaBQB4iqDDCKyYovxrl1WcandGN7qvQlfn+J7xaxEWyFl5NYrX39rihrkhkLhaAT1tjgPl6J55UWbWboEV6Q==" saltValue="3jzLwsgMj7I0X1KNGNzb0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37</v>
      </c>
      <c r="C8" s="7">
        <f>'Fane 2.3. Økonomisk ramme 2022'!C15</f>
        <v>12219889.935659286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C8*'Fane 14. Nøgletal'!C12</f>
        <v>240731.83173248792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-249212.43534783548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drift'!G44</f>
        <v>-168790.57035288159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anlæg'!G43</f>
        <v>-150068.15253932093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11892550.609151736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omk.'!C16*(1+'Fane 14. Nøgletal'!C12)^3</f>
        <v>20588877.051957257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39" t="s">
        <v>154</v>
      </c>
      <c r="C22" s="12">
        <f>SUM(C15,C17,C21)</f>
        <v>32481427.661108993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PNbdn1HAh2UuqPA1RZ6UgFLmtLUEZzo/EjVDOy8wxqRhBu9r7L79eD5139PtSGWckoImfvhKfgFdEInD9MGdfg==" saltValue="SgeyB01+V90S8V9MzyBP9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84</v>
      </c>
      <c r="C8" s="40"/>
      <c r="D8" s="40"/>
      <c r="E8" s="40"/>
      <c r="F8" s="22"/>
      <c r="G8" s="1"/>
    </row>
    <row r="9" spans="1:7" x14ac:dyDescent="0.45">
      <c r="A9" s="1"/>
      <c r="B9" s="90" t="s">
        <v>81</v>
      </c>
      <c r="C9" s="91"/>
      <c r="D9" s="92"/>
      <c r="E9" s="7">
        <v>12937159.515136987</v>
      </c>
      <c r="F9" s="8" t="s">
        <v>3</v>
      </c>
      <c r="G9" s="1"/>
    </row>
    <row r="10" spans="1:7" x14ac:dyDescent="0.45">
      <c r="A10" s="1"/>
      <c r="B10" s="90" t="s">
        <v>82</v>
      </c>
      <c r="C10" s="91"/>
      <c r="D10" s="92"/>
      <c r="E10" s="7">
        <v>0</v>
      </c>
      <c r="F10" s="8" t="s">
        <v>3</v>
      </c>
      <c r="G10" s="1"/>
    </row>
    <row r="11" spans="1:7" x14ac:dyDescent="0.45">
      <c r="A11" s="1"/>
      <c r="B11" s="90" t="s">
        <v>83</v>
      </c>
      <c r="C11" s="91"/>
      <c r="D11" s="92"/>
      <c r="E11" s="7">
        <v>-140822.00124431588</v>
      </c>
      <c r="F11" s="8" t="s">
        <v>3</v>
      </c>
      <c r="G11" s="1"/>
    </row>
    <row r="12" spans="1:7" x14ac:dyDescent="0.4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45">
      <c r="A13" s="1"/>
      <c r="B13" s="77" t="s">
        <v>68</v>
      </c>
      <c r="C13" s="78"/>
      <c r="D13" s="79"/>
      <c r="E13" s="9">
        <v>26560.411099999998</v>
      </c>
      <c r="F13" s="8" t="s">
        <v>3</v>
      </c>
      <c r="G13" s="1"/>
    </row>
    <row r="14" spans="1:7" x14ac:dyDescent="0.4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4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45">
      <c r="A18" s="1"/>
      <c r="B18" s="77" t="s">
        <v>26</v>
      </c>
      <c r="C18" s="78"/>
      <c r="D18" s="79"/>
      <c r="E18" s="9">
        <f>SUM(E9:E17)*'Fane 14. Nøgletal'!C11</f>
        <v>216706.97493237612</v>
      </c>
      <c r="F18" s="8" t="s">
        <v>3</v>
      </c>
      <c r="G18" s="1"/>
    </row>
    <row r="19" spans="1:7" x14ac:dyDescent="0.45">
      <c r="A19" s="1"/>
      <c r="B19" s="77" t="s">
        <v>10</v>
      </c>
      <c r="C19" s="78"/>
      <c r="D19" s="79"/>
      <c r="E19" s="9">
        <f>-SUM(E9:E18)*'Fane 5. Individuelt eff. krav'!G10</f>
        <v>-260792.09799850095</v>
      </c>
      <c r="F19" s="8" t="s">
        <v>3</v>
      </c>
      <c r="G19" s="1"/>
    </row>
    <row r="20" spans="1:7" x14ac:dyDescent="0.45">
      <c r="A20" s="1"/>
      <c r="B20" s="77" t="s">
        <v>38</v>
      </c>
      <c r="C20" s="78"/>
      <c r="D20" s="79"/>
      <c r="E20" s="9">
        <f>-'Fane 4.1. Gen. krav - drift'!G20</f>
        <v>-169725.99864215832</v>
      </c>
      <c r="F20" s="8" t="s">
        <v>3</v>
      </c>
      <c r="G20" s="1"/>
    </row>
    <row r="21" spans="1:7" x14ac:dyDescent="0.45">
      <c r="A21" s="1"/>
      <c r="B21" s="77" t="s">
        <v>39</v>
      </c>
      <c r="C21" s="78"/>
      <c r="D21" s="79"/>
      <c r="E21" s="9">
        <f>-'Fane 4.2. Gen. krav - anlæg'!G19</f>
        <v>-40937.97607154656</v>
      </c>
      <c r="F21" s="8" t="s">
        <v>3</v>
      </c>
      <c r="G21" s="1"/>
    </row>
    <row r="22" spans="1:7" x14ac:dyDescent="0.45">
      <c r="A22" s="1"/>
      <c r="B22" s="80" t="s">
        <v>28</v>
      </c>
      <c r="C22" s="81"/>
      <c r="D22" s="82"/>
      <c r="E22" s="10">
        <f>SUM(E9:E21)</f>
        <v>12568148.827212842</v>
      </c>
      <c r="F22" s="11" t="s">
        <v>3</v>
      </c>
      <c r="G22" s="1"/>
    </row>
    <row r="23" spans="1:7" x14ac:dyDescent="0.45">
      <c r="A23" s="1"/>
      <c r="B23" s="93" t="s">
        <v>17</v>
      </c>
      <c r="C23" s="94"/>
      <c r="D23" s="94"/>
      <c r="E23" s="40"/>
      <c r="F23" s="22"/>
      <c r="G23" s="1"/>
    </row>
    <row r="24" spans="1:7" x14ac:dyDescent="0.45">
      <c r="A24" s="1"/>
      <c r="B24" s="83" t="s">
        <v>17</v>
      </c>
      <c r="C24" s="84"/>
      <c r="D24" s="85"/>
      <c r="E24" s="10">
        <v>18464726.753950506</v>
      </c>
      <c r="F24" s="11" t="s">
        <v>3</v>
      </c>
      <c r="G24" s="1"/>
    </row>
    <row r="25" spans="1:7" x14ac:dyDescent="0.4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45">
      <c r="A26" s="1"/>
      <c r="B26" s="86" t="s">
        <v>132</v>
      </c>
      <c r="C26" s="87"/>
      <c r="D26" s="88"/>
      <c r="E26" s="10">
        <v>86281.650837146604</v>
      </c>
      <c r="F26" s="11" t="s">
        <v>3</v>
      </c>
      <c r="G26" s="1"/>
    </row>
    <row r="27" spans="1:7" x14ac:dyDescent="0.45">
      <c r="A27" s="1"/>
      <c r="B27" s="39" t="s">
        <v>11</v>
      </c>
      <c r="C27" s="40"/>
      <c r="D27" s="40"/>
      <c r="E27" s="40"/>
      <c r="F27" s="22"/>
      <c r="G27" s="1"/>
    </row>
    <row r="28" spans="1:7" x14ac:dyDescent="0.45">
      <c r="A28" s="1"/>
      <c r="B28" s="83" t="s">
        <v>19</v>
      </c>
      <c r="C28" s="84"/>
      <c r="D28" s="85"/>
      <c r="E28" s="10">
        <v>0</v>
      </c>
      <c r="F28" s="11" t="s">
        <v>3</v>
      </c>
      <c r="G28" s="1"/>
    </row>
    <row r="29" spans="1:7" x14ac:dyDescent="0.45">
      <c r="A29" s="1"/>
      <c r="B29" s="39" t="s">
        <v>160</v>
      </c>
      <c r="C29" s="40"/>
      <c r="D29" s="40"/>
      <c r="E29" s="40"/>
      <c r="F29" s="22"/>
      <c r="G29" s="1"/>
    </row>
    <row r="30" spans="1:7" x14ac:dyDescent="0.45">
      <c r="A30" s="1"/>
      <c r="B30" s="83" t="s">
        <v>131</v>
      </c>
      <c r="C30" s="84"/>
      <c r="D30" s="85"/>
      <c r="E30" s="10">
        <v>0</v>
      </c>
      <c r="F30" s="11" t="s">
        <v>3</v>
      </c>
      <c r="G30" s="1"/>
    </row>
    <row r="31" spans="1:7" x14ac:dyDescent="0.45">
      <c r="A31" s="1"/>
      <c r="B31" s="39" t="s">
        <v>23</v>
      </c>
      <c r="C31" s="40"/>
      <c r="D31" s="40"/>
      <c r="E31" s="12">
        <f>SUM(E28,E26,E24,E22,E30)</f>
        <v>31119157.232000493</v>
      </c>
      <c r="F31" s="13" t="s">
        <v>3</v>
      </c>
      <c r="G31" s="1"/>
    </row>
    <row r="32" spans="1:7" ht="28.15" customHeight="1" x14ac:dyDescent="0.45">
      <c r="A32" s="1"/>
      <c r="B32" s="74" t="s">
        <v>189</v>
      </c>
      <c r="C32" s="75"/>
      <c r="D32" s="75"/>
      <c r="E32" s="75"/>
      <c r="F32" s="76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fQA4FOIYYdkLL3J/vzfIR86Ng+XYzp06D2u8LackfDUM0KlWJz9kzcTrVglkS2pLM143c6z37jo/3ym8UQFeqw==" saltValue="JQinfvO49vAezIwdgUfv7A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98" t="s">
        <v>86</v>
      </c>
      <c r="C6" s="99"/>
      <c r="D6" s="99"/>
      <c r="E6" s="99"/>
      <c r="F6" s="100"/>
      <c r="G6" s="26">
        <v>8580392.7710526492</v>
      </c>
      <c r="H6" s="14" t="s">
        <v>3</v>
      </c>
      <c r="I6" s="1"/>
    </row>
    <row r="7" spans="1:9" x14ac:dyDescent="0.45">
      <c r="A7" s="1"/>
      <c r="B7" s="98" t="s">
        <v>87</v>
      </c>
      <c r="C7" s="99"/>
      <c r="D7" s="99"/>
      <c r="E7" s="99"/>
      <c r="F7" s="100"/>
      <c r="G7" s="26">
        <f>G6*'Fane 14. Nøgletal'!C25</f>
        <v>171607.85542105298</v>
      </c>
      <c r="H7" s="14" t="s">
        <v>3</v>
      </c>
      <c r="I7" s="1"/>
    </row>
    <row r="8" spans="1:9" x14ac:dyDescent="0.4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4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8515576.4840601161</v>
      </c>
      <c r="H11" s="14" t="s">
        <v>3</v>
      </c>
      <c r="I11" s="1"/>
    </row>
    <row r="12" spans="1:9" x14ac:dyDescent="0.4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4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170311.52968120232</v>
      </c>
      <c r="H13" s="14" t="s">
        <v>3</v>
      </c>
      <c r="I13" s="1"/>
    </row>
    <row r="14" spans="1:9" x14ac:dyDescent="0.4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8486299.9321079161</v>
      </c>
      <c r="H17" s="14" t="s">
        <v>3</v>
      </c>
      <c r="I17" s="1"/>
    </row>
    <row r="18" spans="1:9" x14ac:dyDescent="0.4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4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4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169725.99864215832</v>
      </c>
      <c r="H20" s="14" t="s">
        <v>3</v>
      </c>
      <c r="I20" s="1"/>
    </row>
    <row r="21" spans="1:9" x14ac:dyDescent="0.4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4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8457124.0329413284</v>
      </c>
      <c r="H24" s="14" t="s">
        <v>3</v>
      </c>
      <c r="I24" s="1"/>
    </row>
    <row r="25" spans="1:9" x14ac:dyDescent="0.4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4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169142.48065882656</v>
      </c>
      <c r="H26" s="14" t="s">
        <v>3</v>
      </c>
      <c r="I26" s="1"/>
    </row>
    <row r="27" spans="1:9" x14ac:dyDescent="0.4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4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8451254.7888624668</v>
      </c>
      <c r="H30" s="14" t="s">
        <v>3</v>
      </c>
      <c r="I30" s="1"/>
    </row>
    <row r="31" spans="1:9" x14ac:dyDescent="0.4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4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169025.09577724934</v>
      </c>
      <c r="H32" s="14" t="s">
        <v>3</v>
      </c>
      <c r="I32" s="1"/>
    </row>
    <row r="33" spans="1:9" x14ac:dyDescent="0.4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4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8445389.6180389971</v>
      </c>
      <c r="H36" s="14" t="s">
        <v>3</v>
      </c>
      <c r="I36" s="1"/>
    </row>
    <row r="37" spans="1:9" x14ac:dyDescent="0.4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4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168907.79236077995</v>
      </c>
      <c r="H38" s="14" t="s">
        <v>3</v>
      </c>
      <c r="I38" s="1"/>
    </row>
    <row r="39" spans="1:9" x14ac:dyDescent="0.4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4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8439528.5176440794</v>
      </c>
      <c r="H42" s="14" t="s">
        <v>3</v>
      </c>
      <c r="I42" s="1"/>
    </row>
    <row r="43" spans="1:9" x14ac:dyDescent="0.4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4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168790.57035288159</v>
      </c>
      <c r="H44" s="14" t="s">
        <v>3</v>
      </c>
      <c r="I44" s="1"/>
    </row>
    <row r="45" spans="1:9" x14ac:dyDescent="0.4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J1SEYS5Z40bZ5kPTCoPasjpZ8ybRlp/xMCC5Gods8str563jDLGEtGf1F6DswCvCxVb8judRERcjrIkQr8V2w==" saltValue="eUc1/3dsCwy+I+99Yh9Lfg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55000000000000004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" x14ac:dyDescent="0.55000000000000004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4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106</v>
      </c>
      <c r="C5" s="99"/>
      <c r="D5" s="99"/>
      <c r="E5" s="99"/>
      <c r="F5" s="100"/>
      <c r="G5" s="26">
        <v>4768503.5598060368</v>
      </c>
      <c r="H5" s="14" t="s">
        <v>3</v>
      </c>
      <c r="I5" s="1"/>
    </row>
    <row r="6" spans="1:9" x14ac:dyDescent="0.45">
      <c r="A6" s="1"/>
      <c r="B6" s="98" t="s">
        <v>102</v>
      </c>
      <c r="C6" s="99"/>
      <c r="D6" s="99"/>
      <c r="E6" s="99"/>
      <c r="F6" s="100"/>
      <c r="G6" s="26">
        <f>G5*'Fane 14. Nøgletal'!C17</f>
        <v>43393.382394234934</v>
      </c>
      <c r="H6" s="14" t="s">
        <v>3</v>
      </c>
      <c r="I6" s="1"/>
    </row>
    <row r="7" spans="1:9" x14ac:dyDescent="0.4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4785119.0766649321</v>
      </c>
      <c r="H10" s="14" t="s">
        <v>3</v>
      </c>
      <c r="I10" s="1"/>
    </row>
    <row r="11" spans="1:9" x14ac:dyDescent="0.4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4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43544.583597650882</v>
      </c>
      <c r="H12" s="14" t="s">
        <v>3</v>
      </c>
      <c r="I12" s="1"/>
    </row>
    <row r="13" spans="1:9" x14ac:dyDescent="0.4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4821707.1020001182</v>
      </c>
      <c r="H16" s="14" t="s">
        <v>3</v>
      </c>
      <c r="I16" s="1"/>
    </row>
    <row r="17" spans="1:9" x14ac:dyDescent="0.45">
      <c r="A17" s="1"/>
      <c r="B17" s="98" t="s">
        <v>223</v>
      </c>
      <c r="C17" s="99"/>
      <c r="D17" s="99"/>
      <c r="E17" s="99"/>
      <c r="F17" s="100"/>
      <c r="G17" s="26">
        <v>-143201.8930653448</v>
      </c>
      <c r="H17" s="14" t="s">
        <v>3</v>
      </c>
      <c r="I17" s="1"/>
    </row>
    <row r="18" spans="1:9" x14ac:dyDescent="0.45">
      <c r="A18" s="1"/>
      <c r="B18" s="101" t="s">
        <v>113</v>
      </c>
      <c r="C18" s="102"/>
      <c r="D18" s="102"/>
      <c r="E18" s="102"/>
      <c r="F18" s="103"/>
      <c r="G18" s="26">
        <v>27009.282047589993</v>
      </c>
      <c r="H18" s="14" t="s">
        <v>3</v>
      </c>
      <c r="I18" s="1"/>
    </row>
    <row r="19" spans="1:9" x14ac:dyDescent="0.4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40937.97607154656</v>
      </c>
      <c r="H19" s="14" t="s">
        <v>3</v>
      </c>
      <c r="I19" s="1"/>
    </row>
    <row r="20" spans="1:9" x14ac:dyDescent="0.4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4743407.8580128094</v>
      </c>
      <c r="H23" s="14" t="s">
        <v>3</v>
      </c>
      <c r="I23" s="1"/>
    </row>
    <row r="24" spans="1:9" x14ac:dyDescent="0.4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594050.06791785604</v>
      </c>
      <c r="H24" s="14" t="s">
        <v>3</v>
      </c>
      <c r="I24" s="1"/>
    </row>
    <row r="25" spans="1:9" x14ac:dyDescent="0.4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58138.670293578551</v>
      </c>
      <c r="H25" s="14" t="s">
        <v>3</v>
      </c>
      <c r="I25" s="1"/>
    </row>
    <row r="26" spans="1:9" x14ac:dyDescent="0.4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5383321.8449731376</v>
      </c>
      <c r="H29" s="14" t="s">
        <v>3</v>
      </c>
      <c r="I29" s="1"/>
    </row>
    <row r="30" spans="1:9" x14ac:dyDescent="0.4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4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152886.34039723713</v>
      </c>
      <c r="H31" s="14" t="s">
        <v>3</v>
      </c>
      <c r="I31" s="1"/>
    </row>
    <row r="32" spans="1:9" x14ac:dyDescent="0.4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5333475.0840160465</v>
      </c>
      <c r="H35" s="14" t="s">
        <v>3</v>
      </c>
      <c r="I35" s="1"/>
    </row>
    <row r="36" spans="1:9" x14ac:dyDescent="0.4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4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151470.69238605571</v>
      </c>
      <c r="H37" s="14" t="s">
        <v>3</v>
      </c>
      <c r="I37" s="1"/>
    </row>
    <row r="38" spans="1:9" x14ac:dyDescent="0.4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5284089.8781451024</v>
      </c>
      <c r="H41" s="14" t="s">
        <v>3</v>
      </c>
      <c r="I41" s="1"/>
    </row>
    <row r="42" spans="1:9" x14ac:dyDescent="0.4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4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150068.15253932093</v>
      </c>
      <c r="H43" s="14" t="s">
        <v>3</v>
      </c>
      <c r="I43" s="1"/>
    </row>
    <row r="44" spans="1:9" x14ac:dyDescent="0.4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dSXZH6+qb2myeRE/PP4SUDHLvjTq0XYsCC27UcuWmDqbIGOL+rfbVS4p9+nv3r1VQStbTAipk0kT0qs5/wGUg==" saltValue="8TZcSMSmb1kKMML+qNrAkg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178</v>
      </c>
      <c r="C9" s="99"/>
      <c r="D9" s="99"/>
      <c r="E9" s="99"/>
      <c r="F9" s="100"/>
      <c r="G9" s="25">
        <v>5.936534374002044E-3</v>
      </c>
      <c r="H9" s="14"/>
      <c r="I9" s="1"/>
    </row>
    <row r="10" spans="1:9" x14ac:dyDescent="0.45">
      <c r="A10" s="1"/>
      <c r="B10" s="98" t="s">
        <v>179</v>
      </c>
      <c r="C10" s="99"/>
      <c r="D10" s="99"/>
      <c r="E10" s="99"/>
      <c r="F10" s="100"/>
      <c r="G10" s="25">
        <v>0.02</v>
      </c>
      <c r="H10" s="14"/>
      <c r="I10" s="1"/>
    </row>
    <row r="11" spans="1:9" x14ac:dyDescent="0.4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rab+hk5b4h9HVHw9K5byDyIpQZW21ARL498JfVZ6GQ5/Dg7nGItfu5gaJ6aEZZyXTMgMwFkGhOTRArZQFTZyzA==" saltValue="uKLXY88vxBhZWn5Ja9kC5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2019-09-06T09:29:46Z</dcterms:modified>
</cp:coreProperties>
</file>