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yngby-Taarbæk Vand AS (V12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 l="1"/>
  <c r="E13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21" i="22" s="1"/>
  <c r="C22" i="39"/>
  <c r="C20" i="15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4" i="11" l="1"/>
  <c r="C10" i="37" s="1"/>
  <c r="C13" i="37" s="1"/>
  <c r="C14" i="37" s="1"/>
  <c r="C10" i="2" s="1"/>
  <c r="G14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4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<sst xmlns="http://schemas.openxmlformats.org/spreadsheetml/2006/main" count="603" uniqueCount="247">
  <si>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</si>
  <si>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</si>
  <si>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</si>
  <si>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</si>
  <si>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</si>
  <si>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</si>
  <si>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</si>
  <si>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</si>
  <si>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</si>
  <si>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</si>
  <si>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</si>
  <si>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</si>
  <si>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</si>
  <si>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</si>
  <si>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</si>
  <si>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</si>
  <si>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</si>
  <si>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</si>
  <si>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</si>
  <si>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</si>
  <si>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</si>
  <si>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</si>
  <si>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</si>
  <si>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</si>
  <si>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</si>
  <si>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</si>
  <si>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</si>
  <si>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</si>
  <si>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</si>
  <si>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</si>
  <si>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</si>
  <si>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</si>
  <si>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</si>
  <si>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</si>
  <si>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</si>
  <si>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</si>
  <si>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</si>
  <si>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</si>
  <si>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</si>
  <si>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</si>
  <si>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</si>
  <si>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</si>
  <si>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</si>
  <si>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</si>
  <si>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</si>
  <si>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</si>
  <si>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</si>
  <si>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</si>
  <si>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</si>
  <si>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</si>
  <si>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</si>
  <si>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</si>
  <si>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</si>
  <si>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</si>
  <si>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</si>
  <si>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</si>
  <si>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</si>
  <si>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</si>
  <si>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</si>
  <si>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</si>
  <si>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</si>
  <si>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</si>
  <si>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</si>
  <si>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</si>
  <si>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</si>
  <si>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</si>
  <si>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</si>
  <si>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</si>
  <si>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</si>
  <si>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</si>
  <si>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</si>
  <si>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</si>
  <si>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</si>
  <si>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</si>
  <si>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</si>
  <si>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</si>
  <si>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</si>
  <si>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</si>
  <si>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</si>
  <si>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</si>
  <si>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</si>
  <si>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</si>
  <si>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</si>
  <si>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</si>
  <si>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</si>
  <si>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</si>
  <si>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</si>
  <si>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</si>
  <si>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</si>
  <si>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</si>
  <si>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</si>
  <si>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</si>
  <si>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</si>
  <si>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</si>
  <si>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</si>
  <si>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</si>
  <si>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</si>
  <si>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</si>
  <si>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</si>
  <si>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</si>
  <si>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</si>
  <si>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</si>
  <si>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</si>
  <si>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</si>
  <si>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</si>
  <si>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</si>
  <si>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</si>
  <si>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</si>
  <si>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</si>
  <si>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</si>
  <si>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</si>
  <si>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</si>
  <si>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</si>
  <si>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</si>
  <si>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</si>
  <si>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</si>
  <si>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</si>
  <si>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</si>
  <si>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</si>
  <si>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</si>
  <si>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</si>
  <si>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</si>
  <si>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</si>
  <si>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</si>
  <si>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</si>
  <si>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</si>
  <si>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</si>
  <si>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</si>
  <si>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</si>
  <si>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</si>
  <si>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</si>
  <si>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</si>
  <si>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</si>
  <si>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</si>
  <si>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</si>
  <si>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</si>
  <si>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</si>
  <si>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</si>
  <si>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</si>
  <si>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</si>
  <si>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</si>
  <si>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</si>
  <si>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</si>
  <si>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</si>
  <si>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</si>
  <si>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</si>
  <si>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</si>
  <si>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</si>
  <si>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</si>
  <si>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</si>
  <si>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</si>
  <si>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</si>
  <si>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</si>
  <si>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</si>
  <si>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</si>
  <si>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</si>
  <si>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</si>
  <si>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</si>
  <si>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</si>
  <si>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</si>
  <si>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</si>
  <si>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</si>
  <si>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</si>
  <si>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</si>
  <si>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</si>
  <si>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</si>
  <si>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</si>
  <si>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</si>
  <si>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</si>
  <si>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</si>
  <si>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</si>
  <si>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</si>
  <si>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</si>
  <si>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</si>
  <si>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</si>
  <si>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</si>
  <si>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</si>
  <si>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</si>
  <si>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</si>
  <si>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</si>
  <si>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</si>
  <si>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</si>
  <si>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</si>
  <si>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</si>
  <si>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</si>
  <si>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</si>
  <si>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</si>
  <si>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</si>
  <si>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</si>
  <si>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</si>
  <si>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</si>
  <si>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</si>
  <si>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</si>
  <si>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</si>
  <si>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</si>
  <si>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</si>
  <si>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</si>
  <si>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</si>
  <si>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</si>
  <si>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</si>
  <si>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</si>
  <si>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</si>
  <si>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</si>
  <si>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</si>
  <si>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</si>
  <si>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</si>
  <si>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</si>
  <si>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</si>
  <si>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</si>
  <si>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</si>
  <si>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</si>
  <si>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</si>
  <si>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</si>
  <si>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</si>
  <si>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</si>
  <si>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</si>
  <si>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</si>
  <si>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</si>
  <si>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</si>
  <si>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</si>
  <si>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</si>
  <si>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</si>
  <si>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</si>
  <si>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</si>
  <si>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</si>
  <si>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</si>
  <si>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</si>
  <si>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</si>
  <si>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</si>
  <si>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</si>
  <si>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</si>
  <si>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</si>
  <si>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</si>
  <si>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</si>
  <si>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Afregningsmålere, elektroniske &gt; Ø110 mm</t>
  </si>
  <si>
    <t>Ø110 mm &lt; Ledningsnet ≤ Ø 250 mm</t>
  </si>
  <si>
    <t>Afregningsmålere, mekaniske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</si>
  <si>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</si>
  <si>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</si>
  <si>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</si>
  <si>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</si>
  <si>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</si>
  <si>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Omlægning af ledninger</t>
  </si>
  <si>
    <t>Stikledninger for 2017 og 2018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</si>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</sst>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4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4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4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4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4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4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4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4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4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4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4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TURo+TMsuHKD9RHUoa1ZvOncLhmUOS6bIKsVHag7pFItByHs2WPdkKIvzIZ+CXAYrJ33hlEFv2MUvozxNK0M2g==" saltValue="SRMw7X7ne84p2uQ2+pl/K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204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69</v>
      </c>
      <c r="C8" s="96"/>
      <c r="D8" s="97"/>
      <c r="E8" s="1"/>
      <c r="F8" s="1"/>
    </row>
    <row r="9" spans="1:6" ht="15" customHeight="1" x14ac:dyDescent="0.45">
      <c r="A9" s="1"/>
      <c r="B9" s="45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238</v>
      </c>
      <c r="C10" s="9">
        <v>18220528</v>
      </c>
      <c r="D10" s="14" t="s">
        <v>3</v>
      </c>
      <c r="E10" s="1"/>
      <c r="F10" s="1"/>
    </row>
    <row r="11" spans="1:6" x14ac:dyDescent="0.45">
      <c r="A11" s="1"/>
      <c r="B11" s="48" t="s">
        <v>239</v>
      </c>
      <c r="C11" s="9">
        <v>57446</v>
      </c>
      <c r="D11" s="14" t="s">
        <v>3</v>
      </c>
      <c r="E11" s="1"/>
      <c r="F11" s="1"/>
    </row>
    <row r="12" spans="1:6" ht="26.65" x14ac:dyDescent="0.45">
      <c r="A12" s="1"/>
      <c r="B12" s="44" t="s">
        <v>240</v>
      </c>
      <c r="C12" s="9">
        <v>7219695</v>
      </c>
      <c r="D12" s="14" t="s">
        <v>3</v>
      </c>
      <c r="E12" s="1"/>
      <c r="F12" s="1"/>
    </row>
    <row r="13" spans="1:6" x14ac:dyDescent="0.45">
      <c r="A13" s="1"/>
      <c r="B13" s="48" t="s">
        <v>241</v>
      </c>
      <c r="C13" s="9">
        <v>560225</v>
      </c>
      <c r="D13" s="14" t="s">
        <v>3</v>
      </c>
      <c r="E13" s="1"/>
      <c r="F13" s="1"/>
    </row>
    <row r="14" spans="1:6" x14ac:dyDescent="0.45">
      <c r="A14" s="1"/>
      <c r="B14" s="39" t="s">
        <v>71</v>
      </c>
      <c r="C14" s="12">
        <f>SUM(C10:C13)</f>
        <v>26057894</v>
      </c>
      <c r="D14" s="13" t="s">
        <v>3</v>
      </c>
      <c r="E14" s="1"/>
      <c r="F14" s="1"/>
    </row>
    <row r="15" spans="1:6" x14ac:dyDescent="0.45">
      <c r="A15" s="1"/>
      <c r="B15" s="39" t="s">
        <v>72</v>
      </c>
      <c r="C15" s="12">
        <f>C14*(1+'Fane 14. Nøgletal'!C12)^2</f>
        <v>27094687.831682462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B2AOYLkrgvp4OVUdMAdodkM2qGWeE2mIwDe8OWYVjhan73XnGHI7wGYA3cNJCE/JQDc0maKeR3wQ53MWytp28Q==" saltValue="ld6V3WD46I/EOuWzKUN7O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50</v>
      </c>
      <c r="C7" s="99"/>
      <c r="D7" s="100"/>
      <c r="E7" s="9">
        <v>-1857379.7915333337</v>
      </c>
      <c r="F7" s="14" t="s">
        <v>3</v>
      </c>
      <c r="G7" s="1"/>
    </row>
    <row r="8" spans="1:7" ht="15" customHeight="1" x14ac:dyDescent="0.45">
      <c r="A8" s="1"/>
      <c r="B8" s="98" t="s">
        <v>51</v>
      </c>
      <c r="C8" s="99"/>
      <c r="D8" s="100"/>
      <c r="E8" s="9">
        <v>741639.53137233853</v>
      </c>
      <c r="F8" s="14" t="s">
        <v>3</v>
      </c>
      <c r="G8" s="1"/>
    </row>
    <row r="9" spans="1:7" ht="15" customHeight="1" x14ac:dyDescent="0.45">
      <c r="A9" s="1"/>
      <c r="B9" s="106" t="s">
        <v>186</v>
      </c>
      <c r="C9" s="107"/>
      <c r="D9" s="108"/>
      <c r="E9" s="10">
        <f>SUM(E7:E8)</f>
        <v>-1115740.2601609952</v>
      </c>
      <c r="F9" s="17" t="s">
        <v>3</v>
      </c>
      <c r="G9" s="1"/>
    </row>
    <row r="10" spans="1:7" ht="15" customHeight="1" x14ac:dyDescent="0.45">
      <c r="A10" s="1"/>
      <c r="B10" s="39"/>
      <c r="C10" s="40"/>
      <c r="D10" s="40"/>
      <c r="E10" s="40"/>
      <c r="F10" s="22"/>
      <c r="G10" s="1"/>
    </row>
    <row r="11" spans="1:7" ht="28.5" customHeight="1" x14ac:dyDescent="0.45">
      <c r="A11" s="1"/>
      <c r="B11" s="74" t="s">
        <v>188</v>
      </c>
      <c r="C11" s="75"/>
      <c r="D11" s="75"/>
      <c r="E11" s="75"/>
      <c r="F11" s="76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165</v>
      </c>
      <c r="C14" s="96"/>
      <c r="D14" s="96"/>
      <c r="E14" s="96"/>
      <c r="F14" s="97"/>
      <c r="G14" s="1"/>
    </row>
    <row r="15" spans="1:7" x14ac:dyDescent="0.45">
      <c r="A15" s="1"/>
      <c r="B15" s="98" t="s">
        <v>166</v>
      </c>
      <c r="C15" s="99"/>
      <c r="D15" s="100"/>
      <c r="E15" s="9">
        <v>49586283.172825009</v>
      </c>
      <c r="F15" s="14" t="s">
        <v>3</v>
      </c>
      <c r="G15" s="1"/>
    </row>
    <row r="16" spans="1:7" x14ac:dyDescent="0.45">
      <c r="A16" s="1"/>
      <c r="B16" s="98" t="s">
        <v>167</v>
      </c>
      <c r="C16" s="99"/>
      <c r="D16" s="100"/>
      <c r="E16" s="9">
        <v>48750811</v>
      </c>
      <c r="F16" s="14" t="s">
        <v>3</v>
      </c>
      <c r="G16" s="1"/>
    </row>
    <row r="17" spans="1:7" x14ac:dyDescent="0.4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45">
      <c r="A18" s="1"/>
      <c r="B18" s="106" t="s">
        <v>187</v>
      </c>
      <c r="C18" s="107"/>
      <c r="D18" s="108"/>
      <c r="E18" s="10">
        <f>E15-(E16-E17)</f>
        <v>835472.17282500863</v>
      </c>
      <c r="F18" s="17" t="s">
        <v>3</v>
      </c>
      <c r="G18" s="1"/>
    </row>
    <row r="19" spans="1:7" x14ac:dyDescent="0.45">
      <c r="A19" s="1"/>
      <c r="B19" s="39"/>
      <c r="C19" s="40"/>
      <c r="D19" s="40"/>
      <c r="E19" s="40"/>
      <c r="F19" s="22"/>
      <c r="G19" s="1"/>
    </row>
    <row r="20" spans="1:7" ht="30" customHeight="1" x14ac:dyDescent="0.45">
      <c r="A20" s="1"/>
      <c r="B20" s="74" t="s">
        <v>189</v>
      </c>
      <c r="C20" s="75"/>
      <c r="D20" s="75"/>
      <c r="E20" s="75"/>
      <c r="F20" s="76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5" t="s">
        <v>77</v>
      </c>
      <c r="C23" s="96"/>
      <c r="D23" s="96"/>
      <c r="E23" s="96"/>
      <c r="F23" s="97"/>
      <c r="G23" s="1"/>
    </row>
    <row r="24" spans="1:7" x14ac:dyDescent="0.45">
      <c r="A24" s="1"/>
      <c r="B24" s="98" t="s">
        <v>78</v>
      </c>
      <c r="C24" s="99"/>
      <c r="D24" s="100"/>
      <c r="E24" s="9">
        <v>50485288.312314659</v>
      </c>
      <c r="F24" s="14" t="s">
        <v>3</v>
      </c>
      <c r="G24" s="1"/>
    </row>
    <row r="25" spans="1:7" x14ac:dyDescent="0.45">
      <c r="A25" s="1"/>
      <c r="B25" s="98" t="s">
        <v>79</v>
      </c>
      <c r="C25" s="99"/>
      <c r="D25" s="100"/>
      <c r="E25" s="9">
        <v>53899725</v>
      </c>
      <c r="F25" s="14" t="s">
        <v>3</v>
      </c>
      <c r="G25" s="1"/>
    </row>
    <row r="26" spans="1:7" x14ac:dyDescent="0.4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45">
      <c r="A27" s="1"/>
      <c r="B27" s="106" t="s">
        <v>187</v>
      </c>
      <c r="C27" s="107"/>
      <c r="D27" s="108"/>
      <c r="E27" s="10">
        <f>E24-(E25-E26)</f>
        <v>-3414436.6876853406</v>
      </c>
      <c r="F27" s="17" t="s">
        <v>3</v>
      </c>
      <c r="G27" s="1"/>
    </row>
    <row r="28" spans="1:7" x14ac:dyDescent="0.45">
      <c r="A28" s="1"/>
      <c r="B28" s="39"/>
      <c r="C28" s="40"/>
      <c r="D28" s="40"/>
      <c r="E28" s="40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5" t="s">
        <v>245</v>
      </c>
      <c r="C31" s="96"/>
      <c r="D31" s="96"/>
      <c r="E31" s="96"/>
      <c r="F31" s="97"/>
      <c r="G31" s="1"/>
    </row>
    <row r="32" spans="1:7" x14ac:dyDescent="0.45">
      <c r="A32" s="1"/>
      <c r="B32" s="106" t="s">
        <v>246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-140134.04366799328</v>
      </c>
      <c r="F32" s="17" t="s">
        <v>3</v>
      </c>
      <c r="G32" s="1"/>
    </row>
    <row r="33" spans="1:7" x14ac:dyDescent="0.45">
      <c r="A33" s="1"/>
      <c r="B33" s="95"/>
      <c r="C33" s="96"/>
      <c r="D33" s="96"/>
      <c r="E33" s="96"/>
      <c r="F33" s="97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180</v>
      </c>
      <c r="C36" s="96"/>
      <c r="D36" s="96"/>
      <c r="E36" s="96"/>
      <c r="F36" s="97"/>
      <c r="G36" s="1"/>
    </row>
    <row r="37" spans="1:7" x14ac:dyDescent="0.4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-3414436.6876853406</v>
      </c>
      <c r="F37" s="14" t="s">
        <v>3</v>
      </c>
      <c r="G37" s="1"/>
    </row>
    <row r="38" spans="1:7" x14ac:dyDescent="0.4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45">
      <c r="A39" s="1"/>
      <c r="B39" s="106" t="s">
        <v>227</v>
      </c>
      <c r="C39" s="107"/>
      <c r="D39" s="108"/>
      <c r="E39" s="10">
        <f>E37/E38</f>
        <v>-1707218.3438426703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UxDfwNt41FVaxZA3vw2jDpWGuroGMouMVROXtP+c030ulpeITPUrVAR72Rkz1PiZoj0bH/rBVydcdeP0E7R+mg==" saltValue="1AR+11Vt3+aMkf2QTgleNg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4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10856.496003082688</v>
      </c>
      <c r="F9" s="11" t="s">
        <v>3</v>
      </c>
      <c r="G9" s="1"/>
    </row>
    <row r="10" spans="1:7" x14ac:dyDescent="0.45">
      <c r="A10" s="1"/>
      <c r="B10" s="39" t="s">
        <v>175</v>
      </c>
      <c r="C10" s="40"/>
      <c r="D10" s="40"/>
      <c r="E10" s="12">
        <f>E9</f>
        <v>10856.496003082688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oTx5JiEqWzi8e6RG5NYvLCLEJelMui6cGkPcIpjAglUZ7Jd5J+yrvjTRqlt7G3q6F4AP7d7ZW5kjGtCPIGXFnw==" saltValue="3n1ZKc0uSi9An9mdaXerl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26.65" x14ac:dyDescent="0.45">
      <c r="A10" s="1"/>
      <c r="B10" s="115" t="s">
        <v>234</v>
      </c>
      <c r="C10" s="116">
        <v>10</v>
      </c>
      <c r="D10" s="9">
        <v>143677.54999999999</v>
      </c>
      <c r="E10" s="9">
        <f>IFERROR(D10/C10,0)</f>
        <v>14367.754999999999</v>
      </c>
      <c r="F10" s="9">
        <v>0</v>
      </c>
      <c r="G10" s="9">
        <v>5581</v>
      </c>
      <c r="H10" s="14" t="s">
        <v>3</v>
      </c>
      <c r="I10" s="1"/>
    </row>
    <row r="11" spans="1:9" ht="26.65" x14ac:dyDescent="0.45">
      <c r="A11" s="1"/>
      <c r="B11" s="115" t="s">
        <v>235</v>
      </c>
      <c r="C11" s="116">
        <v>75</v>
      </c>
      <c r="D11" s="9">
        <v>8196546</v>
      </c>
      <c r="E11" s="9">
        <f t="shared" ref="E11" si="0">IFERROR(D11/C11,0)</f>
        <v>109287.28</v>
      </c>
      <c r="F11" s="9">
        <v>0</v>
      </c>
      <c r="G11" s="9">
        <v>318404</v>
      </c>
      <c r="H11" s="14" t="s">
        <v>3</v>
      </c>
      <c r="I11" s="1"/>
    </row>
    <row r="12" spans="1:9" ht="26.65" x14ac:dyDescent="0.45">
      <c r="A12" s="1"/>
      <c r="B12" s="115" t="s">
        <v>235</v>
      </c>
      <c r="C12" s="116">
        <v>75</v>
      </c>
      <c r="D12" s="9">
        <v>70677</v>
      </c>
      <c r="E12" s="9">
        <f t="shared" ref="E12:E13" si="1">IFERROR(D12/C12,0)</f>
        <v>942.36</v>
      </c>
      <c r="F12" s="9">
        <v>0</v>
      </c>
      <c r="G12" s="9">
        <v>2746</v>
      </c>
      <c r="H12" s="14" t="s">
        <v>3</v>
      </c>
      <c r="I12" s="1"/>
    </row>
    <row r="13" spans="1:9" x14ac:dyDescent="0.45">
      <c r="A13" s="1"/>
      <c r="B13" s="115" t="s">
        <v>236</v>
      </c>
      <c r="C13" s="116">
        <v>8</v>
      </c>
      <c r="D13" s="9">
        <v>408928.58</v>
      </c>
      <c r="E13" s="9">
        <f t="shared" si="1"/>
        <v>51116.072500000002</v>
      </c>
      <c r="F13" s="9">
        <v>0</v>
      </c>
      <c r="G13" s="9">
        <v>15886</v>
      </c>
      <c r="H13" s="14" t="s">
        <v>3</v>
      </c>
      <c r="I13" s="1"/>
    </row>
    <row r="14" spans="1:9" x14ac:dyDescent="0.45">
      <c r="A14" s="1"/>
      <c r="B14" s="95" t="s">
        <v>231</v>
      </c>
      <c r="C14" s="96"/>
      <c r="D14" s="97"/>
      <c r="E14" s="12">
        <f>SUM(E10:E13)</f>
        <v>175713.4675</v>
      </c>
      <c r="F14" s="12">
        <f>SUM(F10:F13)</f>
        <v>0</v>
      </c>
      <c r="G14" s="12">
        <f>SUM(G10:G13)</f>
        <v>342617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MAjvM7+VPYqZpHMtMm6LoXrYN8xb7ORIwTnYtO3ptCQJ3Vmzpyr7YVsm/5fXu2wgZLeINl8ub48U+ixBA6AGQ==" saltValue="JnmiLUFIHSqQV/gl+AlX0Q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237</v>
      </c>
      <c r="C10" s="24">
        <f>'Fane 9. Anlægsprojekter'!F14</f>
        <v>0</v>
      </c>
      <c r="D10" s="14" t="s">
        <v>3</v>
      </c>
      <c r="E10" s="9">
        <f>SUM('Fane 9. Anlægsprojekter'!E14,'Fane 9. Anlægsprojekter'!G14)</f>
        <v>518330.46750000003</v>
      </c>
      <c r="F10" s="14" t="s">
        <v>3</v>
      </c>
      <c r="G10" s="1"/>
    </row>
    <row r="11" spans="1:7" x14ac:dyDescent="0.45">
      <c r="A11" s="1"/>
      <c r="B11" s="117" t="s">
        <v>242</v>
      </c>
      <c r="C11" s="24">
        <v>0</v>
      </c>
      <c r="D11" s="14" t="s">
        <v>3</v>
      </c>
      <c r="E11" s="9">
        <v>12671</v>
      </c>
      <c r="F11" s="14" t="s">
        <v>3</v>
      </c>
      <c r="G11" s="1"/>
    </row>
    <row r="12" spans="1:7" x14ac:dyDescent="0.45">
      <c r="A12" s="1"/>
      <c r="B12" s="27" t="s">
        <v>243</v>
      </c>
      <c r="C12" s="24">
        <v>62178</v>
      </c>
      <c r="D12" s="14" t="s">
        <v>3</v>
      </c>
      <c r="E12" s="9">
        <v>49713</v>
      </c>
      <c r="F12" s="14" t="s">
        <v>3</v>
      </c>
      <c r="G12" s="1"/>
    </row>
    <row r="13" spans="1:7" x14ac:dyDescent="0.45">
      <c r="A13" s="1"/>
      <c r="B13" s="39" t="s">
        <v>63</v>
      </c>
      <c r="C13" s="12">
        <f>SUM(C10:C12)</f>
        <v>62178</v>
      </c>
      <c r="D13" s="13" t="s">
        <v>3</v>
      </c>
      <c r="E13" s="12">
        <f>SUM(E10:E12)</f>
        <v>580714.46750000003</v>
      </c>
      <c r="F13" s="13" t="s">
        <v>3</v>
      </c>
      <c r="G13" s="1"/>
    </row>
    <row r="14" spans="1:7" x14ac:dyDescent="0.45">
      <c r="A14" s="1"/>
      <c r="B14" s="39" t="s">
        <v>74</v>
      </c>
      <c r="C14" s="12">
        <f>C13*(1+'Fane 14. Nøgletal'!C12)</f>
        <v>63402.906600000002</v>
      </c>
      <c r="D14" s="13" t="s">
        <v>3</v>
      </c>
      <c r="E14" s="12">
        <f>E13*(1+'Fane 14. Nøgletal'!C12)</f>
        <v>592154.54250975011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9olivQDzTVF3jot9vdBe2G79k3BhWx3w2nf0G0Sl2B5gx1dzGXZWzHShqyWjYPFeiRFpfUt5C2r8mrKLZ6v7HA==" saltValue="2Y2uvZIMTtWwUhIKXB0dc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168</v>
      </c>
      <c r="C8" s="96"/>
      <c r="D8" s="96"/>
      <c r="E8" s="96"/>
      <c r="F8" s="97"/>
      <c r="G8" s="1"/>
    </row>
    <row r="9" spans="1:7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244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169</v>
      </c>
      <c r="C16" s="96"/>
      <c r="D16" s="96"/>
      <c r="E16" s="96"/>
      <c r="F16" s="97"/>
      <c r="G16" s="1"/>
    </row>
    <row r="17" spans="1:7" x14ac:dyDescent="0.4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45">
      <c r="A18" s="1"/>
      <c r="B18" s="27" t="s">
        <v>244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170</v>
      </c>
      <c r="C24" s="96"/>
      <c r="D24" s="96"/>
      <c r="E24" s="96"/>
      <c r="F24" s="97"/>
      <c r="G24" s="1"/>
    </row>
    <row r="25" spans="1:7" x14ac:dyDescent="0.4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45">
      <c r="A26" s="1"/>
      <c r="B26" s="27" t="s">
        <v>244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171</v>
      </c>
      <c r="C32" s="96"/>
      <c r="D32" s="96"/>
      <c r="E32" s="96"/>
      <c r="F32" s="97"/>
      <c r="G32" s="1"/>
    </row>
    <row r="33" spans="1:7" x14ac:dyDescent="0.4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45">
      <c r="A34" s="1"/>
      <c r="B34" s="27" t="s">
        <v>244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9v5svvcrPM5HjdrjjkL1w0T9hvW2pK8DbKQlK79sHwCitkfkiXHSbiohzMPz2Ga/94JVecIsD5B91v+6Q9wJnQ==" saltValue="B9qzyaOfGrtlkqO1LOgx1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FjXNf5LK80xZNtgGfq/tNRKRGCGKShfOAjYHnzBrJKSJCWN8LPkuhCZaKZgNvUXo9SbdK5hYbPfYr4jCK9z2Dw==" saltValue="qZyHyMR9GYUwEcAeTsIFh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157</v>
      </c>
      <c r="C15" s="96"/>
      <c r="D15" s="96"/>
      <c r="E15" s="96"/>
      <c r="F15" s="97"/>
      <c r="G15" s="1"/>
    </row>
    <row r="16" spans="1:7" x14ac:dyDescent="0.4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155</v>
      </c>
      <c r="C22" s="96"/>
      <c r="D22" s="96"/>
      <c r="E22" s="96"/>
      <c r="F22" s="97"/>
      <c r="G22" s="1"/>
    </row>
    <row r="23" spans="1:7" x14ac:dyDescent="0.4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158</v>
      </c>
      <c r="C29" s="96"/>
      <c r="D29" s="96"/>
      <c r="E29" s="96"/>
      <c r="F29" s="97"/>
      <c r="G29" s="1"/>
    </row>
    <row r="30" spans="1:7" x14ac:dyDescent="0.4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Awfjt/5/a1NiX7Ww75iWwII8fyq8imnHK1gdXvBlGXmw73HoBpl2bwrPxLwP/GK7Pn2SukStCnqcqz0eVSZBMg==" saltValue="VoI2IyeVSZaCdp45N+Cx6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</v>
      </c>
      <c r="C9" s="99"/>
      <c r="D9" s="99"/>
      <c r="E9" s="99"/>
      <c r="F9" s="100"/>
      <c r="G9" s="9">
        <v>2302968</v>
      </c>
      <c r="H9" s="14" t="s">
        <v>3</v>
      </c>
      <c r="I9" s="1"/>
    </row>
    <row r="10" spans="1:9" x14ac:dyDescent="0.4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45">
      <c r="A11" s="1"/>
      <c r="B11" s="98" t="s">
        <v>80</v>
      </c>
      <c r="C11" s="99"/>
      <c r="D11" s="99"/>
      <c r="E11" s="99"/>
      <c r="F11" s="100"/>
      <c r="G11" s="9">
        <v>-2114730.7566137565</v>
      </c>
      <c r="H11" s="14" t="s">
        <v>3</v>
      </c>
      <c r="I11" s="1"/>
    </row>
    <row r="12" spans="1:9" x14ac:dyDescent="0.45">
      <c r="A12" s="1"/>
      <c r="B12" s="112" t="s">
        <v>15</v>
      </c>
      <c r="C12" s="113"/>
      <c r="D12" s="113"/>
      <c r="E12" s="113"/>
      <c r="F12" s="114"/>
      <c r="G12" s="19">
        <f>(G9+G10)+G11</f>
        <v>188237.24338624347</v>
      </c>
      <c r="H12" s="18" t="s">
        <v>3</v>
      </c>
      <c r="I12" s="1"/>
    </row>
    <row r="13" spans="1:9" x14ac:dyDescent="0.4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45">
      <c r="A14" s="1"/>
      <c r="B14" s="95" t="s">
        <v>136</v>
      </c>
      <c r="C14" s="96"/>
      <c r="D14" s="96"/>
      <c r="E14" s="96"/>
      <c r="F14" s="97"/>
      <c r="G14" s="12">
        <f>IF(G13 = 0,0,-G12/G13)</f>
        <v>-188237.24338624347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fEpoTuT2WOOozmieioSWZ0Hxjy7ONYRugR6os1bZ02fAsVTRxET0x7AxRx3kRpPv/7FfL+SDrKB60VQhr9XyA==" saltValue="ipGqf+Ra+bOkSKI0hkCel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54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9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5"/>
      <c r="C13" s="9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39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39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39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39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NJGeKGPoMCKejsQsng348MHx/1gsPefZhx+acREG0cf+TPMUFASrUnD1Q6jYiw2UhiAw0EGV1H0yYFm+LLpzeA==" saltValue="8W5gGi4c6uZb5/x9Jpk66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65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x14ac:dyDescent="0.45">
      <c r="A9" s="1"/>
      <c r="B9" s="44" t="s">
        <v>34</v>
      </c>
      <c r="C9" s="7">
        <f>'Fane 3. Omkostninger i ØR2019'!E22</f>
        <v>26831583.642653476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tillæg'!C14</f>
        <v>63402.906600000002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tillæg'!E14</f>
        <v>592154.54250975011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466368.24530830578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-559070.18674143066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-295260.01164444035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-135004.50654643466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26964174.632139225</v>
      </c>
      <c r="D20" s="11" t="s">
        <v>3</v>
      </c>
      <c r="E20" s="1"/>
    </row>
    <row r="21" spans="1:5" ht="15" customHeight="1" x14ac:dyDescent="0.45">
      <c r="A21" s="1"/>
      <c r="B21" s="39" t="s">
        <v>17</v>
      </c>
      <c r="C21" s="40"/>
      <c r="D21" s="22"/>
      <c r="E21" s="1"/>
    </row>
    <row r="22" spans="1:5" ht="15" customHeight="1" x14ac:dyDescent="0.45">
      <c r="A22" s="1"/>
      <c r="B22" s="41" t="s">
        <v>17</v>
      </c>
      <c r="C22" s="10">
        <f>'Fane 6. Ikke-påvirkelige omk.'!C15</f>
        <v>27094687.831682462</v>
      </c>
      <c r="D22" s="11" t="s">
        <v>3</v>
      </c>
      <c r="E22" s="1"/>
    </row>
    <row r="23" spans="1:5" ht="15" customHeight="1" x14ac:dyDescent="0.45">
      <c r="A23" s="1"/>
      <c r="B23" s="39" t="s">
        <v>142</v>
      </c>
      <c r="C23" s="40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39" t="s">
        <v>11</v>
      </c>
      <c r="C27" s="40"/>
      <c r="D27" s="22"/>
      <c r="E27" s="1"/>
    </row>
    <row r="28" spans="1:5" ht="15" customHeight="1" x14ac:dyDescent="0.45">
      <c r="A28" s="1"/>
      <c r="B28" s="41" t="s">
        <v>19</v>
      </c>
      <c r="C28" s="10">
        <f>'Fane 13. Hist. over-underdæk.'!G14</f>
        <v>-188237.24338624347</v>
      </c>
      <c r="D28" s="11" t="s">
        <v>3</v>
      </c>
      <c r="E28" s="1"/>
    </row>
    <row r="29" spans="1:5" ht="15" customHeight="1" x14ac:dyDescent="0.45">
      <c r="A29" s="1"/>
      <c r="B29" s="39" t="s">
        <v>53</v>
      </c>
      <c r="C29" s="40"/>
      <c r="D29" s="22"/>
      <c r="E29" s="1"/>
    </row>
    <row r="30" spans="1:5" x14ac:dyDescent="0.45">
      <c r="A30" s="1"/>
      <c r="B30" s="41" t="s">
        <v>218</v>
      </c>
      <c r="C30" s="10">
        <f>'Fane 7. Kontrol af ØR2018'!E32</f>
        <v>-140134.04366799328</v>
      </c>
      <c r="D30" s="11" t="s">
        <v>3</v>
      </c>
      <c r="E30" s="1"/>
    </row>
    <row r="31" spans="1:5" x14ac:dyDescent="0.45">
      <c r="A31" s="1"/>
      <c r="B31" s="39" t="s">
        <v>225</v>
      </c>
      <c r="C31" s="40"/>
      <c r="D31" s="22"/>
      <c r="E31" s="1"/>
    </row>
    <row r="32" spans="1:5" x14ac:dyDescent="0.45">
      <c r="A32" s="1"/>
      <c r="B32" s="41" t="s">
        <v>226</v>
      </c>
      <c r="C32" s="10">
        <f>'Fane 8. Korrektioner'!E10</f>
        <v>10856.496003082688</v>
      </c>
      <c r="D32" s="11" t="s">
        <v>3</v>
      </c>
      <c r="E32" s="1"/>
    </row>
    <row r="33" spans="1:5" x14ac:dyDescent="0.45">
      <c r="A33" s="1"/>
      <c r="B33" s="39" t="s">
        <v>35</v>
      </c>
      <c r="C33" s="33">
        <f>SUM(C20,C22,C26,C28,C30,C32)</f>
        <v>53741347.67277053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ZFhUEYRdKGu66ByQ0Y2Ydt03HkUr3DlPoxq0csevWNh+YolX2bqxQKcMqzG/+HT0r2l+xVdxIBL3+5g5AiI07A==" saltValue="V4cBS8dM73wzytVs72l7/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85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ht="15" customHeight="1" x14ac:dyDescent="0.45">
      <c r="A9" s="1"/>
      <c r="B9" s="44" t="s">
        <v>36</v>
      </c>
      <c r="C9" s="7">
        <f>'Fane 2.1. Økonomisk ramme 2020'!C20</f>
        <v>26964174.632139225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531194.24025314266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-549907.37744784739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-295055.10119635909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-405881.13789408613</v>
      </c>
      <c r="D15" s="8" t="s">
        <v>3</v>
      </c>
      <c r="E15" s="1"/>
    </row>
    <row r="16" spans="1:5" ht="15" customHeight="1" x14ac:dyDescent="0.45">
      <c r="A16" s="1"/>
      <c r="B16" s="45" t="s">
        <v>28</v>
      </c>
      <c r="C16" s="10">
        <f>SUM(C9:C15)</f>
        <v>26244525.255854074</v>
      </c>
      <c r="D16" s="11" t="s">
        <v>3</v>
      </c>
      <c r="E16" s="1"/>
    </row>
    <row r="17" spans="1:5" x14ac:dyDescent="0.45">
      <c r="A17" s="1"/>
      <c r="B17" s="39" t="s">
        <v>17</v>
      </c>
      <c r="C17" s="40"/>
      <c r="D17" s="22"/>
      <c r="E17" s="1"/>
    </row>
    <row r="18" spans="1:5" ht="15" customHeight="1" x14ac:dyDescent="0.45">
      <c r="A18" s="1"/>
      <c r="B18" s="41" t="s">
        <v>17</v>
      </c>
      <c r="C18" s="10">
        <f>'Fane 6. Ikke-påvirkelige omk.'!C15*(1+'Fane 14. Nøgletal'!C12)</f>
        <v>27628453.181966607</v>
      </c>
      <c r="D18" s="11" t="s">
        <v>3</v>
      </c>
      <c r="E18" s="1"/>
    </row>
    <row r="19" spans="1:5" ht="15" customHeight="1" x14ac:dyDescent="0.45">
      <c r="A19" s="1"/>
      <c r="B19" s="39" t="s">
        <v>142</v>
      </c>
      <c r="C19" s="40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9" t="s">
        <v>160</v>
      </c>
      <c r="C23" s="40"/>
      <c r="D23" s="22"/>
      <c r="E23" s="1"/>
    </row>
    <row r="24" spans="1:5" ht="15" customHeight="1" x14ac:dyDescent="0.45">
      <c r="A24" s="1"/>
      <c r="B24" s="41" t="s">
        <v>195</v>
      </c>
      <c r="C24" s="10">
        <f>'Fane 7. Kontrol af ØR2018'!E39</f>
        <v>-1707218.3438426703</v>
      </c>
      <c r="D24" s="11" t="s">
        <v>3</v>
      </c>
      <c r="E24" s="1"/>
    </row>
    <row r="25" spans="1:5" x14ac:dyDescent="0.45">
      <c r="A25" s="1"/>
      <c r="B25" s="39" t="s">
        <v>44</v>
      </c>
      <c r="C25" s="12">
        <f>SUM(C16,C18,C22,C24)</f>
        <v>52165760.09397801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asLe/yoll+ecdFhqBZGganjqxYFtlEhIpCkQpkNYw+lPkKY63Oq9GsKzf60JhIrQTE0Sv3Ur4Bl91UbyxfV52A==" saltValue="jHd7KETvlljljSFZ7yMO9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36</v>
      </c>
      <c r="C8" s="7">
        <f>'Fane 2.2. Økonomisk ramme 2021'!C16</f>
        <v>26244525.255854074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517017.14754032524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-535230.84806788794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-294850.33295612881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-402122.88961537858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25529338.332755003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omk.'!C15*(1+'Fane 14. Nøgletal'!C12)^2</f>
        <v>28172733.709651351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39" t="s">
        <v>160</v>
      </c>
      <c r="C22" s="40"/>
      <c r="D22" s="22"/>
      <c r="E22" s="1"/>
    </row>
    <row r="23" spans="1:5" ht="15" customHeight="1" x14ac:dyDescent="0.45">
      <c r="A23" s="1"/>
      <c r="B23" s="41" t="s">
        <v>195</v>
      </c>
      <c r="C23" s="10">
        <f>'Fane 2.2. Økonomisk ramme 2021'!C24</f>
        <v>-1707218.3438426703</v>
      </c>
      <c r="D23" s="11" t="s">
        <v>3</v>
      </c>
      <c r="E23" s="1"/>
    </row>
    <row r="24" spans="1:5" x14ac:dyDescent="0.45">
      <c r="A24" s="1"/>
      <c r="B24" s="39" t="s">
        <v>45</v>
      </c>
      <c r="C24" s="12">
        <f>SUM(C15,C17,C21,C23)</f>
        <v>51994853.69856368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Vpxt+4Ti3fXgdcvt8pnDhodmkrGQKyMqSGesIKdOab0Pm3MpW1Uh5B9B5/OchO9//zv8O4x0wuju+maQ7U0Z0g==" saltValue="vBBZQMm902n0ALxGSuRI/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37</v>
      </c>
      <c r="C8" s="7">
        <f>'Fane 2.3. Økonomisk ramme 2022'!C15</f>
        <v>25529338.332755003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502927.9651552735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-520645.32595820556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-294645.70682505728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-398399.44076144282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24818575.824365567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omk.'!C15*(1+'Fane 14. Nøgletal'!C12)^3</f>
        <v>28727736.56373148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9" t="s">
        <v>154</v>
      </c>
      <c r="C22" s="12">
        <f>SUM(C15,C17,C21)</f>
        <v>53546312.388097048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6KHVOAGi3hStSZjcMio5zEn6nyN12XJ9F6rIIX/krQVmDAcq9elmTzPqfSgbY7j8vqeqNlYRLzYi5M2WKDtniw==" saltValue="jclkw2hu7QmTjElGO4d3T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84</v>
      </c>
      <c r="C8" s="40"/>
      <c r="D8" s="40"/>
      <c r="E8" s="40"/>
      <c r="F8" s="22"/>
      <c r="G8" s="1"/>
    </row>
    <row r="9" spans="1:7" x14ac:dyDescent="0.45">
      <c r="A9" s="1"/>
      <c r="B9" s="90" t="s">
        <v>81</v>
      </c>
      <c r="C9" s="91"/>
      <c r="D9" s="92"/>
      <c r="E9" s="7">
        <v>26393768.803584933</v>
      </c>
      <c r="F9" s="8" t="s">
        <v>3</v>
      </c>
      <c r="G9" s="1"/>
    </row>
    <row r="10" spans="1:7" x14ac:dyDescent="0.4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45">
      <c r="A11" s="1"/>
      <c r="B11" s="90" t="s">
        <v>83</v>
      </c>
      <c r="C11" s="91"/>
      <c r="D11" s="92"/>
      <c r="E11" s="7">
        <v>252101.71346938334</v>
      </c>
      <c r="F11" s="8" t="s">
        <v>3</v>
      </c>
      <c r="G11" s="1"/>
    </row>
    <row r="12" spans="1:7" x14ac:dyDescent="0.4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45">
      <c r="A13" s="1"/>
      <c r="B13" s="77" t="s">
        <v>68</v>
      </c>
      <c r="C13" s="78"/>
      <c r="D13" s="79"/>
      <c r="E13" s="9">
        <v>691594.95963354665</v>
      </c>
      <c r="F13" s="8" t="s">
        <v>3</v>
      </c>
      <c r="G13" s="1"/>
    </row>
    <row r="14" spans="1:7" x14ac:dyDescent="0.4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4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45">
      <c r="A18" s="1"/>
      <c r="B18" s="77" t="s">
        <v>26</v>
      </c>
      <c r="C18" s="78"/>
      <c r="D18" s="79"/>
      <c r="E18" s="9">
        <f>SUM(E9:E17)*'Fane 14. Nøgletal'!C11</f>
        <v>462003.16655602487</v>
      </c>
      <c r="F18" s="8" t="s">
        <v>3</v>
      </c>
      <c r="G18" s="1"/>
    </row>
    <row r="19" spans="1:7" x14ac:dyDescent="0.45">
      <c r="A19" s="1"/>
      <c r="B19" s="77" t="s">
        <v>10</v>
      </c>
      <c r="C19" s="78"/>
      <c r="D19" s="79"/>
      <c r="E19" s="9">
        <f>-SUM(E9:E18)*'Fane 5. Individuelt eff. krav'!G10</f>
        <v>-555989.37286487769</v>
      </c>
      <c r="F19" s="8" t="s">
        <v>3</v>
      </c>
      <c r="G19" s="1"/>
    </row>
    <row r="20" spans="1:7" x14ac:dyDescent="0.45">
      <c r="A20" s="1"/>
      <c r="B20" s="77" t="s">
        <v>38</v>
      </c>
      <c r="C20" s="78"/>
      <c r="D20" s="79"/>
      <c r="E20" s="9">
        <f>-'Fane 4.1. Gen. krav - drift'!G20</f>
        <v>-294981.1178504097</v>
      </c>
      <c r="F20" s="8" t="s">
        <v>3</v>
      </c>
      <c r="G20" s="1"/>
    </row>
    <row r="21" spans="1:7" x14ac:dyDescent="0.45">
      <c r="A21" s="1"/>
      <c r="B21" s="77" t="s">
        <v>39</v>
      </c>
      <c r="C21" s="78"/>
      <c r="D21" s="79"/>
      <c r="E21" s="9">
        <f>-'Fane 4.2. Gen. krav - anlæg'!G19</f>
        <v>-116914.50987512531</v>
      </c>
      <c r="F21" s="8" t="s">
        <v>3</v>
      </c>
      <c r="G21" s="1"/>
    </row>
    <row r="22" spans="1:7" x14ac:dyDescent="0.45">
      <c r="A22" s="1"/>
      <c r="B22" s="80" t="s">
        <v>28</v>
      </c>
      <c r="C22" s="81"/>
      <c r="D22" s="82"/>
      <c r="E22" s="10">
        <f>SUM(E9:E21)</f>
        <v>26831583.642653476</v>
      </c>
      <c r="F22" s="11" t="s">
        <v>3</v>
      </c>
      <c r="G22" s="1"/>
    </row>
    <row r="23" spans="1:7" x14ac:dyDescent="0.45">
      <c r="A23" s="1"/>
      <c r="B23" s="93" t="s">
        <v>17</v>
      </c>
      <c r="C23" s="94"/>
      <c r="D23" s="94"/>
      <c r="E23" s="40"/>
      <c r="F23" s="22"/>
      <c r="G23" s="1"/>
    </row>
    <row r="24" spans="1:7" x14ac:dyDescent="0.45">
      <c r="A24" s="1"/>
      <c r="B24" s="83" t="s">
        <v>17</v>
      </c>
      <c r="C24" s="84"/>
      <c r="D24" s="85"/>
      <c r="E24" s="10">
        <v>23832359.066119943</v>
      </c>
      <c r="F24" s="11" t="s">
        <v>3</v>
      </c>
      <c r="G24" s="1"/>
    </row>
    <row r="25" spans="1:7" x14ac:dyDescent="0.4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45">
      <c r="A26" s="1"/>
      <c r="B26" s="86" t="s">
        <v>132</v>
      </c>
      <c r="C26" s="87"/>
      <c r="D26" s="88"/>
      <c r="E26" s="10">
        <v>121823.54390718412</v>
      </c>
      <c r="F26" s="11" t="s">
        <v>3</v>
      </c>
      <c r="G26" s="1"/>
    </row>
    <row r="27" spans="1:7" x14ac:dyDescent="0.45">
      <c r="A27" s="1"/>
      <c r="B27" s="39" t="s">
        <v>11</v>
      </c>
      <c r="C27" s="40"/>
      <c r="D27" s="40"/>
      <c r="E27" s="40"/>
      <c r="F27" s="22"/>
      <c r="G27" s="1"/>
    </row>
    <row r="28" spans="1:7" x14ac:dyDescent="0.45">
      <c r="A28" s="1"/>
      <c r="B28" s="83" t="s">
        <v>19</v>
      </c>
      <c r="C28" s="84"/>
      <c r="D28" s="85"/>
      <c r="E28" s="10">
        <v>-188237</v>
      </c>
      <c r="F28" s="11" t="s">
        <v>3</v>
      </c>
      <c r="G28" s="1"/>
    </row>
    <row r="29" spans="1:7" x14ac:dyDescent="0.45">
      <c r="A29" s="1"/>
      <c r="B29" s="39" t="s">
        <v>160</v>
      </c>
      <c r="C29" s="40"/>
      <c r="D29" s="40"/>
      <c r="E29" s="40"/>
      <c r="F29" s="22"/>
      <c r="G29" s="1"/>
    </row>
    <row r="30" spans="1:7" x14ac:dyDescent="0.45">
      <c r="A30" s="1"/>
      <c r="B30" s="83" t="s">
        <v>131</v>
      </c>
      <c r="C30" s="84"/>
      <c r="D30" s="85"/>
      <c r="E30" s="10">
        <v>-155006.18317699939</v>
      </c>
      <c r="F30" s="11" t="s">
        <v>3</v>
      </c>
      <c r="G30" s="1"/>
    </row>
    <row r="31" spans="1:7" x14ac:dyDescent="0.45">
      <c r="A31" s="1"/>
      <c r="B31" s="39" t="s">
        <v>23</v>
      </c>
      <c r="C31" s="40"/>
      <c r="D31" s="40"/>
      <c r="E31" s="12">
        <f>SUM(E28,E26,E24,E22,E30)</f>
        <v>50442523.069503598</v>
      </c>
      <c r="F31" s="13" t="s">
        <v>3</v>
      </c>
      <c r="G31" s="1"/>
    </row>
    <row r="32" spans="1:7" ht="28.15" customHeight="1" x14ac:dyDescent="0.45">
      <c r="A32" s="1"/>
      <c r="B32" s="74" t="s">
        <v>189</v>
      </c>
      <c r="C32" s="75"/>
      <c r="D32" s="75"/>
      <c r="E32" s="75"/>
      <c r="F32" s="76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uPBvUBEaKaG7rCpN2V1qRapylVYIGAD6r+F81V9Mxg4WIflyFL1jbqNe6IBbLUuQeuRKOQu/LMLXrqfS+2/9PA==" saltValue="Z87thJ+GEWHsPyjgpllci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98" t="s">
        <v>86</v>
      </c>
      <c r="C6" s="99"/>
      <c r="D6" s="99"/>
      <c r="E6" s="99"/>
      <c r="F6" s="100"/>
      <c r="G6" s="26">
        <v>14912587.767634995</v>
      </c>
      <c r="H6" s="14" t="s">
        <v>3</v>
      </c>
      <c r="I6" s="1"/>
    </row>
    <row r="7" spans="1:9" x14ac:dyDescent="0.45">
      <c r="A7" s="1"/>
      <c r="B7" s="98" t="s">
        <v>87</v>
      </c>
      <c r="C7" s="99"/>
      <c r="D7" s="99"/>
      <c r="E7" s="99"/>
      <c r="F7" s="100"/>
      <c r="G7" s="26">
        <f>G6*'Fane 14. Nøgletal'!C25</f>
        <v>298251.7553526999</v>
      </c>
      <c r="H7" s="14" t="s">
        <v>3</v>
      </c>
      <c r="I7" s="1"/>
    </row>
    <row r="8" spans="1:9" x14ac:dyDescent="0.4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4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14799938.07963828</v>
      </c>
      <c r="H11" s="14" t="s">
        <v>3</v>
      </c>
      <c r="I11" s="1"/>
    </row>
    <row r="12" spans="1:9" x14ac:dyDescent="0.4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4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295998.76159276563</v>
      </c>
      <c r="H13" s="14" t="s">
        <v>3</v>
      </c>
      <c r="I13" s="1"/>
    </row>
    <row r="14" spans="1:9" x14ac:dyDescent="0.4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14749055.892520484</v>
      </c>
      <c r="H17" s="14" t="s">
        <v>3</v>
      </c>
      <c r="I17" s="1"/>
    </row>
    <row r="18" spans="1:9" x14ac:dyDescent="0.4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4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4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294981.1178504097</v>
      </c>
      <c r="H20" s="14" t="s">
        <v>3</v>
      </c>
      <c r="I20" s="1"/>
    </row>
    <row r="21" spans="1:9" x14ac:dyDescent="0.4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4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14698348.638361996</v>
      </c>
      <c r="H24" s="14" t="s">
        <v>3</v>
      </c>
      <c r="I24" s="1"/>
    </row>
    <row r="25" spans="1:9" x14ac:dyDescent="0.4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64651.943860020008</v>
      </c>
      <c r="H25" s="14" t="s">
        <v>3</v>
      </c>
      <c r="I25" s="1"/>
    </row>
    <row r="26" spans="1:9" x14ac:dyDescent="0.4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295260.01164444035</v>
      </c>
      <c r="H26" s="14" t="s">
        <v>3</v>
      </c>
      <c r="I26" s="1"/>
    </row>
    <row r="27" spans="1:9" x14ac:dyDescent="0.4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4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14752755.059817955</v>
      </c>
      <c r="H30" s="14" t="s">
        <v>3</v>
      </c>
      <c r="I30" s="1"/>
    </row>
    <row r="31" spans="1:9" x14ac:dyDescent="0.4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295055.10119635909</v>
      </c>
      <c r="H32" s="14" t="s">
        <v>3</v>
      </c>
      <c r="I32" s="1"/>
    </row>
    <row r="33" spans="1:9" x14ac:dyDescent="0.4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4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14742516.647806441</v>
      </c>
      <c r="H36" s="14" t="s">
        <v>3</v>
      </c>
      <c r="I36" s="1"/>
    </row>
    <row r="37" spans="1:9" x14ac:dyDescent="0.4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294850.33295612881</v>
      </c>
      <c r="H38" s="14" t="s">
        <v>3</v>
      </c>
      <c r="I38" s="1"/>
    </row>
    <row r="39" spans="1:9" x14ac:dyDescent="0.4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4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14732285.341252863</v>
      </c>
      <c r="H42" s="14" t="s">
        <v>3</v>
      </c>
      <c r="I42" s="1"/>
    </row>
    <row r="43" spans="1:9" x14ac:dyDescent="0.4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294645.70682505728</v>
      </c>
      <c r="H44" s="14" t="s">
        <v>3</v>
      </c>
      <c r="I44" s="1"/>
    </row>
    <row r="45" spans="1:9" x14ac:dyDescent="0.4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2NycXOU2MzJ6MiSEAIMii7Iblec08kzgUVgAOcEs85DE51W0JNfa+TV/7ordCG7OwjujrpYnrOQaFHZ3oOUHww==" saltValue="u6G9QPH+Eau74QH90TvzlQ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106</v>
      </c>
      <c r="C5" s="99"/>
      <c r="D5" s="99"/>
      <c r="E5" s="99"/>
      <c r="F5" s="100"/>
      <c r="G5" s="26">
        <v>12341111</v>
      </c>
      <c r="H5" s="14" t="s">
        <v>3</v>
      </c>
      <c r="I5" s="1"/>
    </row>
    <row r="6" spans="1:9" x14ac:dyDescent="0.45">
      <c r="A6" s="1"/>
      <c r="B6" s="98" t="s">
        <v>102</v>
      </c>
      <c r="C6" s="99"/>
      <c r="D6" s="99"/>
      <c r="E6" s="99"/>
      <c r="F6" s="100"/>
      <c r="G6" s="26">
        <f>G5*'Fane 14. Nøgletal'!C17</f>
        <v>112304.11010000001</v>
      </c>
      <c r="H6" s="14" t="s">
        <v>3</v>
      </c>
      <c r="I6" s="1"/>
    </row>
    <row r="7" spans="1:9" x14ac:dyDescent="0.4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12384112.737401729</v>
      </c>
      <c r="H10" s="14" t="s">
        <v>3</v>
      </c>
      <c r="I10" s="1"/>
    </row>
    <row r="11" spans="1:9" x14ac:dyDescent="0.4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4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112695.42591035574</v>
      </c>
      <c r="H12" s="14" t="s">
        <v>3</v>
      </c>
      <c r="I12" s="1"/>
    </row>
    <row r="13" spans="1:9" x14ac:dyDescent="0.4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12478804.264055576</v>
      </c>
      <c r="H16" s="14" t="s">
        <v>3</v>
      </c>
      <c r="I16" s="1"/>
    </row>
    <row r="17" spans="1:9" x14ac:dyDescent="0.45">
      <c r="A17" s="1"/>
      <c r="B17" s="98" t="s">
        <v>223</v>
      </c>
      <c r="C17" s="99"/>
      <c r="D17" s="99"/>
      <c r="E17" s="99"/>
      <c r="F17" s="100"/>
      <c r="G17" s="26">
        <v>256362.2324270159</v>
      </c>
      <c r="H17" s="14" t="s">
        <v>3</v>
      </c>
      <c r="I17" s="1"/>
    </row>
    <row r="18" spans="1:9" x14ac:dyDescent="0.45">
      <c r="A18" s="1"/>
      <c r="B18" s="101" t="s">
        <v>113</v>
      </c>
      <c r="C18" s="102"/>
      <c r="D18" s="102"/>
      <c r="E18" s="102"/>
      <c r="F18" s="103"/>
      <c r="G18" s="26">
        <v>703282.91445135348</v>
      </c>
      <c r="H18" s="14" t="s">
        <v>3</v>
      </c>
      <c r="I18" s="1"/>
    </row>
    <row r="19" spans="1:9" x14ac:dyDescent="0.4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116914.50987512531</v>
      </c>
      <c r="H19" s="14" t="s">
        <v>3</v>
      </c>
      <c r="I19" s="1"/>
    </row>
    <row r="20" spans="1:9" x14ac:dyDescent="0.4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13546668.840886712</v>
      </c>
      <c r="H23" s="14" t="s">
        <v>3</v>
      </c>
      <c r="I23" s="1"/>
    </row>
    <row r="24" spans="1:9" x14ac:dyDescent="0.4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603819.98699719226</v>
      </c>
      <c r="H24" s="14" t="s">
        <v>3</v>
      </c>
      <c r="I24" s="1"/>
    </row>
    <row r="25" spans="1:9" x14ac:dyDescent="0.4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135004.50654643466</v>
      </c>
      <c r="H25" s="14" t="s">
        <v>3</v>
      </c>
      <c r="I25" s="1"/>
    </row>
    <row r="26" spans="1:9" x14ac:dyDescent="0.4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14291589.36246782</v>
      </c>
      <c r="H29" s="14" t="s">
        <v>3</v>
      </c>
      <c r="I29" s="1"/>
    </row>
    <row r="30" spans="1:9" x14ac:dyDescent="0.4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405881.13789408613</v>
      </c>
      <c r="H31" s="14" t="s">
        <v>3</v>
      </c>
      <c r="I31" s="1"/>
    </row>
    <row r="32" spans="1:9" x14ac:dyDescent="0.4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14159256.676597837</v>
      </c>
      <c r="H35" s="14" t="s">
        <v>3</v>
      </c>
      <c r="I35" s="1"/>
    </row>
    <row r="36" spans="1:9" x14ac:dyDescent="0.4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402122.88961537858</v>
      </c>
      <c r="H37" s="14" t="s">
        <v>3</v>
      </c>
      <c r="I37" s="1"/>
    </row>
    <row r="38" spans="1:9" x14ac:dyDescent="0.4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14028149.322586013</v>
      </c>
      <c r="H41" s="14" t="s">
        <v>3</v>
      </c>
      <c r="I41" s="1"/>
    </row>
    <row r="42" spans="1:9" x14ac:dyDescent="0.4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398399.44076144282</v>
      </c>
      <c r="H43" s="14" t="s">
        <v>3</v>
      </c>
      <c r="I43" s="1"/>
    </row>
    <row r="44" spans="1:9" x14ac:dyDescent="0.4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k86PFO9i3dLSBSEGy34ULVtZXEwRaUzkMahayL7ta5PeXJNYPCC5y/qEBK6bb487v6jthaLXK0LntSMp28iKA==" saltValue="squhv96TCLof1NDcRCOUC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178</v>
      </c>
      <c r="C9" s="99"/>
      <c r="D9" s="99"/>
      <c r="E9" s="99"/>
      <c r="F9" s="100"/>
      <c r="G9" s="25">
        <v>7.0255503208722196E-3</v>
      </c>
      <c r="H9" s="14"/>
      <c r="I9" s="1"/>
    </row>
    <row r="10" spans="1:9" x14ac:dyDescent="0.45">
      <c r="A10" s="1"/>
      <c r="B10" s="98" t="s">
        <v>179</v>
      </c>
      <c r="C10" s="99"/>
      <c r="D10" s="99"/>
      <c r="E10" s="99"/>
      <c r="F10" s="100"/>
      <c r="G10" s="25">
        <v>0.02</v>
      </c>
      <c r="H10" s="14"/>
      <c r="I10" s="1"/>
    </row>
    <row r="11" spans="1:9" x14ac:dyDescent="0.4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1b0mW+iQBRrmIGwVRDRknMlPvmE26MexkRLnGHdgJig7ee5IL8fdeVv1KpsGK4doyo5oY9NheEd9M7dTbXjDw==" saltValue="HZpND8sV9FTvCqCsV0Tr1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2019-09-05T10:17:56Z</dcterms:modified>
</cp:coreProperties>
</file>