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Rønne Vand AS (V160)\ØR2020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0" sheetId="2" r:id="rId2"/>
    <sheet name="Fane 2.2. Økonomisk ramme 2021" sheetId="15" r:id="rId3"/>
    <sheet name="Fane 2.3. Økonomisk ramme 2022" sheetId="22" r:id="rId4"/>
    <sheet name="Fane 2.4. Økonomisk ramme 2023" sheetId="23" r:id="rId5"/>
    <sheet name="Fane 3. Omkostninger i ØR2019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8" sheetId="32" r:id="rId11"/>
    <sheet name="Fane 8. Korrektioner" sheetId="40" r:id="rId12"/>
    <sheet name="Fane 9. Anlægsprojekter" sheetId="11" r:id="rId13"/>
    <sheet name="Fane 10.1. Varige tillæg" sheetId="37" r:id="rId14"/>
    <sheet name="Fane 10.2. Engangstillæg" sheetId="39" r:id="rId15"/>
    <sheet name="Fane 11. Tilknyttet aktivitet" sheetId="29" r:id="rId16"/>
    <sheet name="Fane 12. Bortfald" sheetId="21" r:id="rId17"/>
    <sheet name="Fane 13. Hist. over-underdæk." sheetId="10" r:id="rId18"/>
    <sheet name="Fane 14. Nøgletal" sheetId="26" r:id="rId19"/>
  </sheets>
  <externalReferences>
    <externalReference r:id="rId20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E18" i="32" l="1"/>
  <c r="E9" i="32"/>
  <c r="E32" i="32" l="1"/>
  <c r="E9" i="40"/>
  <c r="G7" i="30" l="1"/>
  <c r="E10" i="40" l="1"/>
  <c r="C32" i="2" s="1"/>
  <c r="E32" i="21" l="1"/>
  <c r="E33" i="21" s="1"/>
  <c r="C32" i="21"/>
  <c r="C33" i="21" s="1"/>
  <c r="E25" i="21"/>
  <c r="E26" i="21" s="1"/>
  <c r="C25" i="21"/>
  <c r="C26" i="21" s="1"/>
  <c r="E18" i="21"/>
  <c r="E19" i="21" s="1"/>
  <c r="C18" i="21"/>
  <c r="C19" i="21" s="1"/>
  <c r="G30" i="36" l="1"/>
  <c r="C11" i="15"/>
  <c r="G31" i="30"/>
  <c r="C10" i="15"/>
  <c r="G37" i="30"/>
  <c r="C9" i="22"/>
  <c r="G36" i="36"/>
  <c r="C10" i="22"/>
  <c r="G42" i="36"/>
  <c r="C10" i="23"/>
  <c r="C9" i="23"/>
  <c r="G43" i="30"/>
  <c r="E35" i="39"/>
  <c r="C35" i="39"/>
  <c r="E27" i="39"/>
  <c r="C27" i="39"/>
  <c r="E19" i="39"/>
  <c r="C19" i="39"/>
  <c r="E11" i="39"/>
  <c r="C11" i="39"/>
  <c r="C13" i="39" l="1"/>
  <c r="C12" i="39"/>
  <c r="C29" i="39"/>
  <c r="C28" i="39"/>
  <c r="C30" i="39" s="1"/>
  <c r="C19" i="22" s="1"/>
  <c r="C21" i="39"/>
  <c r="C20" i="39"/>
  <c r="C22" i="39" s="1"/>
  <c r="C20" i="15" s="1"/>
  <c r="E13" i="39"/>
  <c r="E12" i="39"/>
  <c r="E14" i="39" s="1"/>
  <c r="C25" i="2" s="1"/>
  <c r="E29" i="39"/>
  <c r="E28" i="39"/>
  <c r="E30" i="39" s="1"/>
  <c r="C20" i="22" s="1"/>
  <c r="C37" i="39"/>
  <c r="C36" i="39"/>
  <c r="E21" i="39"/>
  <c r="E20" i="39"/>
  <c r="E37" i="39"/>
  <c r="E36" i="39"/>
  <c r="C38" i="39" l="1"/>
  <c r="C19" i="23" s="1"/>
  <c r="E38" i="39"/>
  <c r="C20" i="23" s="1"/>
  <c r="E22" i="39"/>
  <c r="C21" i="15" s="1"/>
  <c r="C21" i="22"/>
  <c r="C14" i="39"/>
  <c r="C24" i="2" s="1"/>
  <c r="G12" i="10"/>
  <c r="G14" i="10" s="1"/>
  <c r="C21" i="23" l="1"/>
  <c r="C22" i="15"/>
  <c r="C26" i="2"/>
  <c r="G6" i="36" l="1"/>
  <c r="G10" i="36" l="1"/>
  <c r="G11" i="30"/>
  <c r="G13" i="30" s="1"/>
  <c r="G17" i="30" s="1"/>
  <c r="G12" i="36" l="1"/>
  <c r="G16" i="36" s="1"/>
  <c r="G19" i="36" l="1"/>
  <c r="G23" i="36" s="1"/>
  <c r="G20" i="30" l="1"/>
  <c r="G24" i="30" s="1"/>
  <c r="E21" i="27"/>
  <c r="E20" i="27" l="1"/>
  <c r="E18" i="27" l="1"/>
  <c r="E27" i="32" l="1"/>
  <c r="E37" i="32" l="1"/>
  <c r="E39" i="32" s="1"/>
  <c r="C24" i="15" s="1"/>
  <c r="C23" i="22" s="1"/>
  <c r="C30" i="2"/>
  <c r="F11" i="11" l="1"/>
  <c r="C10" i="37" s="1"/>
  <c r="C11" i="37" s="1"/>
  <c r="C12" i="37" s="1"/>
  <c r="C10" i="2" s="1"/>
  <c r="G11" i="11"/>
  <c r="E11" i="21" l="1"/>
  <c r="C11" i="21"/>
  <c r="E11" i="29"/>
  <c r="C11" i="29"/>
  <c r="C15" i="19"/>
  <c r="C16" i="19" s="1"/>
  <c r="C12" i="29" l="1"/>
  <c r="C14" i="2" s="1"/>
  <c r="E12" i="29"/>
  <c r="C15" i="2" s="1"/>
  <c r="C17" i="23"/>
  <c r="C17" i="22"/>
  <c r="C18" i="15"/>
  <c r="C22" i="2"/>
  <c r="E12" i="21"/>
  <c r="C13" i="2" s="1"/>
  <c r="C12" i="21"/>
  <c r="C12" i="2" s="1"/>
  <c r="G25" i="30" l="1"/>
  <c r="G26" i="30" s="1"/>
  <c r="C18" i="2" l="1"/>
  <c r="G30" i="30" l="1"/>
  <c r="G32" i="30" s="1"/>
  <c r="E11" i="11"/>
  <c r="E10" i="37" s="1"/>
  <c r="E11" i="37" s="1"/>
  <c r="E12" i="37" s="1"/>
  <c r="C11" i="2" s="1"/>
  <c r="G24" i="36" s="1"/>
  <c r="G25" i="36" s="1"/>
  <c r="C28" i="2"/>
  <c r="C14" i="15" l="1"/>
  <c r="G36" i="30" l="1"/>
  <c r="G38" i="30" s="1"/>
  <c r="C13" i="22" l="1"/>
  <c r="G42" i="30" l="1"/>
  <c r="C19" i="2"/>
  <c r="G29" i="36"/>
  <c r="G31" i="36" s="1"/>
  <c r="G44" i="30" l="1"/>
  <c r="C13" i="23" s="1"/>
  <c r="G35" i="36"/>
  <c r="G37" i="36" s="1"/>
  <c r="C15" i="15" l="1"/>
  <c r="C14" i="22"/>
  <c r="G41" i="36" l="1"/>
  <c r="G43" i="36" s="1"/>
  <c r="C14" i="23" l="1"/>
  <c r="E19" i="27"/>
  <c r="E22" i="27" s="1"/>
  <c r="E31" i="27" l="1"/>
  <c r="C9" i="2"/>
  <c r="C16" i="2" s="1"/>
  <c r="C17" i="2" l="1"/>
  <c r="C20" i="2" s="1"/>
  <c r="C33" i="2" l="1"/>
  <c r="C9" i="15"/>
  <c r="C12" i="15" l="1"/>
  <c r="C13" i="15" s="1"/>
  <c r="C16" i="15" l="1"/>
  <c r="C25" i="15" s="1"/>
  <c r="C8" i="22" l="1"/>
  <c r="C11" i="22" s="1"/>
  <c r="C12" i="22" s="1"/>
  <c r="C15" i="22" l="1"/>
  <c r="C24" i="22" l="1"/>
  <c r="C8" i="23"/>
  <c r="C11" i="23" l="1"/>
  <c r="C12" i="23" s="1"/>
  <c r="C15" i="23" l="1"/>
  <c r="C22" i="23" s="1"/>
</calcChain>
</file>

<file path=xl/sharedStrings.xml><?xml version="1.0" encoding="utf-8"?>
<sst xmlns="http://schemas.openxmlformats.org/spreadsheetml/2006/main" count="593" uniqueCount="244">
  <si>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</si>
  <si>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</si>
  <si>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</si>
  <si>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</si>
  <si>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</si>
  <si>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</si>
  <si>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</si>
  <si>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</si>
  <si>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</si>
  <si>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</si>
  <si>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</si>
  <si>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Historisk over- eller underdækning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</si>
  <si>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</si>
  <si>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</si>
  <si>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</si>
  <si>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</si>
  <si>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</si>
  <si>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</si>
  <si>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</si>
  <si>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</si>
  <si>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</si>
  <si>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Prisudvikling</t>
  </si>
  <si>
    <t>Fane 2.2</t>
  </si>
  <si>
    <t>Økonomisk ramme for 2019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</si>
  <si>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</si>
  <si>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</si>
  <si>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</si>
  <si>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</si>
  <si>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</si>
  <si>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</si>
  <si>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</si>
  <si>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Tilknyttet aktivitet under hovedvirksomheden</t>
  </si>
  <si>
    <t>Beskrivelse af tilknyttet aktivitet</t>
  </si>
  <si>
    <t>Tilknyttet aktivitet under hovedvirksomheden i alt (2018-prisniveau)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</si>
  <si>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</si>
  <si>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</si>
  <si>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</si>
  <si>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</si>
  <si>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</si>
  <si>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</si>
  <si>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</si>
  <si>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</si>
  <si>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</si>
  <si>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</si>
  <si>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</si>
  <si>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</si>
  <si>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</si>
  <si>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</si>
  <si>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</si>
  <si>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</si>
  <si>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</si>
  <si>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</si>
  <si>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</si>
  <si>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Korrektion og kontrol med overholdelse af indtægtsrammer</t>
  </si>
  <si>
    <t>Fane 14: Nøgletal</t>
  </si>
  <si>
    <t>Fane 2.3</t>
  </si>
  <si>
    <t>Samlet økonomisk ramme for 2020</t>
  </si>
  <si>
    <t>Fane 2.4</t>
  </si>
  <si>
    <t>Anlægsprojekter</t>
  </si>
  <si>
    <t>Tilknyttet aktivitet</t>
  </si>
  <si>
    <t>Bortfald</t>
  </si>
  <si>
    <t>Fane 13</t>
  </si>
  <si>
    <t>Fane 14</t>
  </si>
  <si>
    <t>Nye tillæg i alt i 2018-prisniveau</t>
  </si>
  <si>
    <t>Bortfald eller nedsættelse i alt i 2018-prisniveau</t>
  </si>
  <si>
    <t>Fane 2.1: Samlet økonomisk ramme for 2020</t>
  </si>
  <si>
    <t>Omkostninger i ØR2019</t>
  </si>
  <si>
    <t>Nye tillæg - Drift</t>
  </si>
  <si>
    <t>Nye tillæg - Anlæg</t>
  </si>
  <si>
    <t>Faktiske ikke-påvirkelige omkostninger i 2018</t>
  </si>
  <si>
    <t>Faktiske omkostninger i 2018</t>
  </si>
  <si>
    <t>Ikke-påvirkelige omkostninger i 2018-prisniveau</t>
  </si>
  <si>
    <t>Ikke-påvirkelige omkostninger i 2020-prisniveau</t>
  </si>
  <si>
    <t>Prisudvikling til brug for nye omkostninger i ØR2020</t>
  </si>
  <si>
    <t>Nye tillæg i alt i 2019-prisniveau</t>
  </si>
  <si>
    <t>Bortfald eller nedsættelse i alt i 2019-prisniveau</t>
  </si>
  <si>
    <t>Tilknyttet aktivitet under hovedvirksomheden i alt (2019-prisniveau)</t>
  </si>
  <si>
    <t>Kontrol med overholdelse af den økonomiske ramme for 2018</t>
  </si>
  <si>
    <t>Indtægtsramme i den økonomiske ramme for 2018</t>
  </si>
  <si>
    <t>Faktiske indtægter i 2018</t>
  </si>
  <si>
    <t>Heraf beløb indregnet i prislofterne/de økonomiske rammer for 2011-2019</t>
  </si>
  <si>
    <t>Videreførte omkostninger fra den økonomiske ramme for 2018</t>
  </si>
  <si>
    <t>Korrektion af grundlag - Drift</t>
  </si>
  <si>
    <t>Korrektion af grundlag - Anlæg</t>
  </si>
  <si>
    <t>Oversigt over den økonomiske ramme for 2019</t>
  </si>
  <si>
    <t>Fane 2.2: Samlet økonomisk ramme for 2021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</si>
  <si>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</si>
  <si>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</si>
  <si>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</si>
  <si>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</si>
  <si>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</si>
  <si>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</si>
  <si>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</si>
  <si>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</si>
  <si>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</si>
  <si>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</si>
  <si>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</si>
  <si>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</si>
  <si>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</si>
  <si>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</si>
  <si>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</si>
  <si>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</si>
  <si>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</si>
  <si>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</si>
  <si>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</si>
  <si>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</si>
  <si>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</si>
  <si>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</si>
  <si>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</si>
  <si>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</si>
  <si>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</si>
  <si>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</si>
  <si>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</si>
  <si>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</si>
  <si>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</si>
  <si>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</si>
  <si>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</si>
  <si>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</si>
  <si>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</si>
  <si>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</si>
  <si>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</si>
  <si>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</si>
  <si>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</si>
  <si>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</si>
  <si>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</si>
  <si>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</si>
  <si>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</si>
  <si>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</si>
  <si>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</si>
  <si>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</si>
  <si>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Korrektion af budgetterede omkostninger</t>
  </si>
  <si>
    <t>Tillæg/fradrag for kontrol af prisloft 2016</t>
  </si>
  <si>
    <t>Samlet korrektion af budgetterede omkostninger i de økonomiske rammer for 2017 og 2018</t>
  </si>
  <si>
    <t>Vejledende økonomisk ramme for 2022</t>
  </si>
  <si>
    <t>Vejledende økonomisk ramme for 2023</t>
  </si>
  <si>
    <t>Over- eller underdækning tillagt senere end 31. december 2010</t>
  </si>
  <si>
    <t>Tillæg/fradrag til den økonomiske ramme for 2020 i alt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</si>
  <si>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</si>
  <si>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</si>
  <si>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</si>
  <si>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</si>
  <si>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</si>
  <si>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</si>
  <si>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</si>
  <si>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</si>
  <si>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2021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</si>
  <si>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</si>
  <si>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</si>
  <si>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</si>
  <si>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</si>
  <si>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</si>
  <si>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2021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</si>
  <si>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</si>
  <si>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</si>
  <si>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</si>
  <si>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</si>
  <si>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2020</t>
  </si>
  <si>
    <t>Bortfald eller nedsættelse fra og med de økonomiske rammer for 2021</t>
  </si>
  <si>
    <t>Bortfald eller nedsættelse fra og med de økonomiske rammer for 2023</t>
  </si>
  <si>
    <t>Andre korrektioner</t>
  </si>
  <si>
    <t>Kontrol med overholdelse af indtægtsrammer</t>
  </si>
  <si>
    <t>Kontrol af den økonomiske ramme for 2018</t>
  </si>
  <si>
    <t>Generelt effektiviseringskrav på drift</t>
  </si>
  <si>
    <t>Generelt effektiviseringskrav på anlæg</t>
  </si>
  <si>
    <t>Korrektion af forkert prisfremskrivning af kontrol og korrektioner i de økonomiske rammer for 2019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</si>
  <si>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</si>
  <si>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</si>
  <si>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</si>
  <si>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2020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</si>
  <si>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</si>
  <si>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</si>
  <si>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</si>
  <si>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2018-prisniveau</t>
  </si>
  <si>
    <t>Engangstillæg i alt i 2020-prisniveau</t>
  </si>
  <si>
    <t>Engangstillæg i alt i 2021-prisniveau</t>
  </si>
  <si>
    <t>Korrektioner af den økonomiske ramme for 2018 i alt</t>
  </si>
  <si>
    <t>Generelt effektiviseringskrav</t>
  </si>
  <si>
    <t>Vejledende økonomisk ramme for 2021</t>
  </si>
  <si>
    <t>Individuelt effektiviseringskrav til de økonomiske rammer for 2017-2018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</si>
  <si>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</si>
  <si>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</si>
  <si>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</si>
  <si>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</si>
  <si>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</si>
  <si>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</si>
  <si>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</si>
  <si>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</si>
  <si>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Difference 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</si>
  <si>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</si>
  <si>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</si>
  <si>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Generelt effektiviseringskrav til anlægsomkostninger i de vejledende økonomiske rammer for 2021</t>
  </si>
  <si>
    <t>Generelt effektiviseringskrav til driftsomkostninger i de vejledende økonomiske rammer for 2021</t>
  </si>
  <si>
    <t xml:space="preserve">Til statusmeddelelse for 2020 </t>
  </si>
  <si>
    <t>Fane 2.3: Samlet økonomisk ramme for 2022</t>
  </si>
  <si>
    <t>Fane 2.4: Samlet økonomisk ramme for 2023</t>
  </si>
  <si>
    <t>Fradrag for kontrol med overholdelse af indtægtsrammen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</si>
  <si>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</si>
  <si>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</si>
  <si>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</si>
  <si>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</si>
  <si>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</si>
  <si>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</si>
  <si>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</si>
  <si>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</si>
  <si>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</si>
  <si>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7: Kontrol med overholdelse af den økonomiske ramme for 2018</t>
  </si>
  <si>
    <t>Fane 10.1: Varige tillæg</t>
  </si>
  <si>
    <t>Fane 10.2: Engangstillæg</t>
  </si>
  <si>
    <t>Fane 11: Tilknyttet aktivitet under hovedvirksomheden</t>
  </si>
  <si>
    <t>Fane 12: Bortfald eller nedsættelse af omkostninger til mål, medfinansiering eller udvidelse</t>
  </si>
  <si>
    <t>Fane 13: Historisk over- eller underdækning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</si>
  <si>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</si>
  <si>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</si>
  <si>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</si>
  <si>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</si>
  <si>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</si>
  <si>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</si>
  <si>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</si>
  <si>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Tillæg/fradrag for kontrol af den økonomiske ramme for 2018</t>
  </si>
  <si>
    <t>Vejledende generelt effektiviseringskrav til anlægsomkostningerne i ØR21</t>
  </si>
  <si>
    <t>Vejledende generelt effektiviseringskrav til driftsomkostningerne i ØR21</t>
  </si>
  <si>
    <t>Fane 3: Videreførte omkostninger fra den økonomiske ramme for 2019</t>
  </si>
  <si>
    <t>Korrektion af driftsomkostninger i grundlaget</t>
  </si>
  <si>
    <t>Korrektion af anlægsomkostninger i grundlaget</t>
  </si>
  <si>
    <t>Fane 3</t>
  </si>
  <si>
    <t>Korrektion af tidligere rammer</t>
  </si>
  <si>
    <t>Tillæg/fradrag for korrektion af tidligere rammer</t>
  </si>
  <si>
    <t>Fradrag i de økonomiske rammer for 2021-2022 i alt</t>
  </si>
  <si>
    <t>Fane 8: Korrektion af tidligere rammer</t>
  </si>
  <si>
    <t>Fane 9: Anlægsprojekter igangsat senest den 1. marts 2016</t>
  </si>
  <si>
    <t>Anlægsprojekter igangsat senest den 1. marts 2016</t>
  </si>
  <si>
    <t>Anlægsprojekter igangsat senest den 1. marts 2016 i alt</t>
  </si>
  <si>
    <t>Ingen tilknyttet aktivitet</t>
  </si>
  <si>
    <t>Ingen bortfald eller nedsættelse</t>
  </si>
  <si>
    <t>Afgift for ledningsført vand</t>
  </si>
  <si>
    <t>Afgift til Forsyningssekretariatet</t>
  </si>
  <si>
    <t>Ejendomsskat</t>
  </si>
  <si>
    <t>Selskabsskatter</t>
  </si>
  <si>
    <t>Tjenestemandspensioner</t>
  </si>
  <si>
    <t>Ingen engangstillæg</t>
  </si>
  <si>
    <t>Ingen anlægsprojekter</t>
  </si>
  <si>
    <t>Anlægsprojekter igangsat senest 1. marts 2016</t>
  </si>
  <si>
    <t>Til indregning i den økonomiske ramme for 2020</t>
  </si>
  <si>
    <t>Tillæg/fradrag i den økonomiske ramme for 2020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</si>
</sst>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 * #,##0_ ;_ * \-#,##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3" fontId="10" fillId="4" borderId="1" xfId="0" applyNumberFormat="1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0" fontId="17" fillId="0" borderId="2" xfId="0" applyFont="1" applyFill="1" applyBorder="1" applyAlignment="1" applyProtection="1"/>
    <xf numFmtId="3" fontId="17" fillId="0" borderId="1" xfId="0" applyNumberFormat="1" applyFont="1" applyFill="1" applyBorder="1" applyProtection="1"/>
    <xf numFmtId="0" fontId="17" fillId="0" borderId="1" xfId="0" applyFont="1" applyFill="1" applyBorder="1" applyProtection="1"/>
    <xf numFmtId="0" fontId="8" fillId="9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3" fillId="2" borderId="0" xfId="0" applyFont="1" applyFill="1" applyBorder="1" applyProtection="1"/>
    <xf numFmtId="0" fontId="8" fillId="9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8" fillId="9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" fillId="8" borderId="4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3" fillId="7" borderId="4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5" xfId="2" applyFont="1" applyFill="1" applyBorder="1" applyAlignment="1" applyProtection="1">
      <alignment horizontal="center"/>
    </xf>
    <xf numFmtId="0" fontId="1" fillId="10" borderId="4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5" xfId="2" applyFont="1" applyFill="1" applyBorder="1" applyAlignment="1" applyProtection="1">
      <alignment horizontal="center"/>
    </xf>
    <xf numFmtId="0" fontId="13" fillId="6" borderId="4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8" fillId="9" borderId="2" xfId="0" applyFont="1" applyFill="1" applyBorder="1" applyAlignment="1" applyProtection="1">
      <alignment horizontal="left" wrapText="1"/>
    </xf>
    <xf numFmtId="0" fontId="8" fillId="9" borderId="6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wrapText="1"/>
    </xf>
    <xf numFmtId="0" fontId="8" fillId="9" borderId="6" xfId="0" quotePrefix="1" applyFont="1" applyFill="1" applyBorder="1" applyAlignment="1" applyProtection="1">
      <alignment wrapText="1"/>
    </xf>
    <xf numFmtId="0" fontId="8" fillId="9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wrapText="1"/>
    </xf>
    <xf numFmtId="0" fontId="8" fillId="9" borderId="6" xfId="0" applyFont="1" applyFill="1" applyBorder="1" applyAlignment="1" applyProtection="1">
      <alignment wrapText="1"/>
    </xf>
    <xf numFmtId="0" fontId="8" fillId="9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6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/>
    <xf numFmtId="0" fontId="8" fillId="9" borderId="6" xfId="0" applyFont="1" applyFill="1" applyBorder="1" applyAlignment="1" applyProtection="1"/>
    <xf numFmtId="0" fontId="8" fillId="9" borderId="3" xfId="0" applyFont="1" applyFill="1" applyBorder="1" applyAlignment="1" applyProtection="1"/>
    <xf numFmtId="0" fontId="16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6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10" fillId="4" borderId="2" xfId="0" applyFont="1" applyFill="1" applyBorder="1" applyAlignment="1" applyProtection="1">
      <alignment horizontal="left"/>
    </xf>
    <xf numFmtId="0" fontId="10" fillId="4" borderId="6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>
        <row r="1">
          <cell r="A1" t="str">
            <v>ØR 2020-2023 samt statusmeddelelser</v>
          </cell>
        </row>
      </sheetData>
      <sheetData sheetId="2"/>
      <sheetData sheetId="3">
        <row r="1">
          <cell r="B1" t="str">
            <v>ØR 2018-2021 samt statusmeddelelser</v>
          </cell>
        </row>
      </sheetData>
      <sheetData sheetId="4">
        <row r="1">
          <cell r="A1" t="str">
            <v>AABBABAABBB[</v>
          </cell>
        </row>
      </sheetData>
      <sheetData sheetId="5">
        <row r="5">
          <cell r="C5">
            <v>1.0168999999999999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54" t="s">
        <v>4</v>
      </c>
      <c r="E6" s="54"/>
      <c r="F6" s="54"/>
      <c r="G6" s="54"/>
      <c r="H6" s="3"/>
      <c r="I6" s="1"/>
    </row>
    <row r="7" spans="1:9" ht="15" customHeight="1" x14ac:dyDescent="0.45">
      <c r="A7" s="1"/>
      <c r="B7" s="1"/>
      <c r="C7" s="3"/>
      <c r="D7" s="54"/>
      <c r="E7" s="54"/>
      <c r="F7" s="54"/>
      <c r="G7" s="54"/>
      <c r="H7" s="3"/>
      <c r="I7" s="1"/>
    </row>
    <row r="8" spans="1:9" ht="15.75" x14ac:dyDescent="0.5">
      <c r="A8" s="1"/>
      <c r="B8" s="1"/>
      <c r="C8" s="4"/>
      <c r="D8" s="59" t="s">
        <v>192</v>
      </c>
      <c r="E8" s="59"/>
      <c r="F8" s="59"/>
      <c r="G8" s="59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58" t="s">
        <v>5</v>
      </c>
      <c r="E11" s="58"/>
      <c r="F11" s="58"/>
      <c r="G11" s="58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51" t="s">
        <v>56</v>
      </c>
      <c r="E13" s="52"/>
      <c r="F13" s="52"/>
      <c r="G13" s="53"/>
      <c r="H13" s="1"/>
      <c r="I13" s="1"/>
    </row>
    <row r="14" spans="1:9" x14ac:dyDescent="0.45">
      <c r="A14" s="1"/>
      <c r="B14" s="1"/>
      <c r="C14" s="6" t="s">
        <v>22</v>
      </c>
      <c r="D14" s="51" t="s">
        <v>177</v>
      </c>
      <c r="E14" s="52"/>
      <c r="F14" s="52"/>
      <c r="G14" s="53"/>
      <c r="H14" s="1"/>
      <c r="I14" s="1"/>
    </row>
    <row r="15" spans="1:9" x14ac:dyDescent="0.45">
      <c r="A15" s="1"/>
      <c r="B15" s="1"/>
      <c r="C15" s="6" t="s">
        <v>55</v>
      </c>
      <c r="D15" s="51" t="s">
        <v>133</v>
      </c>
      <c r="E15" s="52"/>
      <c r="F15" s="52"/>
      <c r="G15" s="53"/>
      <c r="H15" s="1"/>
      <c r="I15" s="1"/>
    </row>
    <row r="16" spans="1:9" x14ac:dyDescent="0.45">
      <c r="A16" s="1"/>
      <c r="B16" s="1"/>
      <c r="C16" s="6" t="s">
        <v>57</v>
      </c>
      <c r="D16" s="51" t="s">
        <v>134</v>
      </c>
      <c r="E16" s="52"/>
      <c r="F16" s="52"/>
      <c r="G16" s="53"/>
      <c r="H16" s="1"/>
      <c r="I16" s="1"/>
    </row>
    <row r="17" spans="1:9" x14ac:dyDescent="0.45">
      <c r="A17" s="1"/>
      <c r="B17" s="1"/>
      <c r="C17" s="6" t="s">
        <v>224</v>
      </c>
      <c r="D17" s="51" t="s">
        <v>66</v>
      </c>
      <c r="E17" s="52"/>
      <c r="F17" s="52"/>
      <c r="G17" s="53"/>
      <c r="H17" s="1"/>
      <c r="I17" s="1"/>
    </row>
    <row r="18" spans="1:9" x14ac:dyDescent="0.45">
      <c r="A18" s="1"/>
      <c r="B18" s="1"/>
      <c r="C18" s="34" t="s">
        <v>196</v>
      </c>
      <c r="D18" s="60" t="s">
        <v>162</v>
      </c>
      <c r="E18" s="61"/>
      <c r="F18" s="61"/>
      <c r="G18" s="62"/>
      <c r="H18" s="1"/>
      <c r="I18" s="1"/>
    </row>
    <row r="19" spans="1:9" x14ac:dyDescent="0.45">
      <c r="A19" s="1"/>
      <c r="B19" s="1"/>
      <c r="C19" s="34" t="s">
        <v>197</v>
      </c>
      <c r="D19" s="60" t="s">
        <v>163</v>
      </c>
      <c r="E19" s="61"/>
      <c r="F19" s="61"/>
      <c r="G19" s="62"/>
      <c r="H19" s="1"/>
      <c r="I19" s="1"/>
    </row>
    <row r="20" spans="1:9" x14ac:dyDescent="0.45">
      <c r="A20" s="1"/>
      <c r="B20" s="1"/>
      <c r="C20" s="34" t="s">
        <v>7</v>
      </c>
      <c r="D20" s="60" t="s">
        <v>10</v>
      </c>
      <c r="E20" s="61"/>
      <c r="F20" s="61"/>
      <c r="G20" s="62"/>
      <c r="H20" s="1"/>
      <c r="I20" s="1"/>
    </row>
    <row r="21" spans="1:9" x14ac:dyDescent="0.45">
      <c r="A21" s="1"/>
      <c r="B21" s="1"/>
      <c r="C21" s="6" t="s">
        <v>198</v>
      </c>
      <c r="D21" s="69" t="s">
        <v>17</v>
      </c>
      <c r="E21" s="70"/>
      <c r="F21" s="70"/>
      <c r="G21" s="71"/>
      <c r="H21" s="1"/>
      <c r="I21" s="1"/>
    </row>
    <row r="22" spans="1:9" x14ac:dyDescent="0.45">
      <c r="A22" s="1"/>
      <c r="B22" s="1"/>
      <c r="C22" s="6" t="s">
        <v>140</v>
      </c>
      <c r="D22" s="55" t="s">
        <v>161</v>
      </c>
      <c r="E22" s="56"/>
      <c r="F22" s="56"/>
      <c r="G22" s="57"/>
      <c r="H22" s="1"/>
      <c r="I22" s="1"/>
    </row>
    <row r="23" spans="1:9" x14ac:dyDescent="0.45">
      <c r="A23" s="1"/>
      <c r="B23" s="1"/>
      <c r="C23" s="6" t="s">
        <v>8</v>
      </c>
      <c r="D23" s="55" t="s">
        <v>225</v>
      </c>
      <c r="E23" s="56"/>
      <c r="F23" s="56"/>
      <c r="G23" s="57"/>
      <c r="H23" s="1"/>
      <c r="I23" s="1"/>
    </row>
    <row r="24" spans="1:9" x14ac:dyDescent="0.45">
      <c r="A24" s="1"/>
      <c r="B24" s="1"/>
      <c r="C24" s="6" t="s">
        <v>9</v>
      </c>
      <c r="D24" s="55" t="s">
        <v>58</v>
      </c>
      <c r="E24" s="56"/>
      <c r="F24" s="56"/>
      <c r="G24" s="57"/>
      <c r="H24" s="1"/>
      <c r="I24" s="1"/>
    </row>
    <row r="25" spans="1:9" x14ac:dyDescent="0.45">
      <c r="A25" s="1"/>
      <c r="B25" s="1"/>
      <c r="C25" s="6" t="s">
        <v>199</v>
      </c>
      <c r="D25" s="55" t="s">
        <v>141</v>
      </c>
      <c r="E25" s="56"/>
      <c r="F25" s="56"/>
      <c r="G25" s="57"/>
      <c r="H25" s="1"/>
      <c r="I25" s="1"/>
    </row>
    <row r="26" spans="1:9" x14ac:dyDescent="0.45">
      <c r="A26" s="1"/>
      <c r="B26" s="1"/>
      <c r="C26" s="6" t="s">
        <v>200</v>
      </c>
      <c r="D26" s="55" t="s">
        <v>142</v>
      </c>
      <c r="E26" s="56"/>
      <c r="F26" s="56"/>
      <c r="G26" s="57"/>
      <c r="H26" s="1"/>
      <c r="I26" s="1"/>
    </row>
    <row r="27" spans="1:9" x14ac:dyDescent="0.45">
      <c r="A27" s="1"/>
      <c r="B27" s="1"/>
      <c r="C27" s="6" t="s">
        <v>201</v>
      </c>
      <c r="D27" s="55" t="s">
        <v>59</v>
      </c>
      <c r="E27" s="56"/>
      <c r="F27" s="56"/>
      <c r="G27" s="57"/>
      <c r="H27" s="1"/>
      <c r="I27" s="1"/>
    </row>
    <row r="28" spans="1:9" x14ac:dyDescent="0.45">
      <c r="A28" s="1"/>
      <c r="B28" s="1"/>
      <c r="C28" s="6" t="s">
        <v>183</v>
      </c>
      <c r="D28" s="55" t="s">
        <v>60</v>
      </c>
      <c r="E28" s="56"/>
      <c r="F28" s="56"/>
      <c r="G28" s="57"/>
      <c r="H28" s="1"/>
      <c r="I28" s="1"/>
    </row>
    <row r="29" spans="1:9" x14ac:dyDescent="0.45">
      <c r="A29" s="1"/>
      <c r="B29" s="1"/>
      <c r="C29" s="6" t="s">
        <v>61</v>
      </c>
      <c r="D29" s="63" t="s">
        <v>11</v>
      </c>
      <c r="E29" s="64"/>
      <c r="F29" s="64"/>
      <c r="G29" s="65"/>
      <c r="H29" s="1"/>
      <c r="I29" s="1"/>
    </row>
    <row r="30" spans="1:9" x14ac:dyDescent="0.45">
      <c r="A30" s="1"/>
      <c r="B30" s="1"/>
      <c r="C30" s="6" t="s">
        <v>62</v>
      </c>
      <c r="D30" s="66" t="s">
        <v>184</v>
      </c>
      <c r="E30" s="67"/>
      <c r="F30" s="67"/>
      <c r="G30" s="68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E4RGvyu+AD00nqr5OSNl5vjref8A64WOKhmLATPFA+x3frLY2UnXd0P8JAiO9wA9fw5+rgvw/mUvXc2L2WDbIA==" saltValue="1JsSjGREDy5+m/VNCaBB5w==" spinCount="100000" sheet="1" objects="1" scenarios="1"/>
  <mergeCells count="21">
    <mergeCell ref="D29:G29"/>
    <mergeCell ref="D28:G28"/>
    <mergeCell ref="D30:G30"/>
    <mergeCell ref="D21:G21"/>
    <mergeCell ref="D24:G24"/>
    <mergeCell ref="D25:G25"/>
    <mergeCell ref="D27:G27"/>
    <mergeCell ref="D26:G26"/>
    <mergeCell ref="D23:G23"/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</mergeCells>
  <hyperlinks>
    <hyperlink ref="D14:G14" location="'Fane 2.2. Økonomisk ramme 2021'!A1" display="Samlet økonomisk ramme for 2021"/>
    <hyperlink ref="D25:G25" location="'Fane 10.1. Varige tillæg'!A1" display="Varige tillæg"/>
    <hyperlink ref="D27:G27" location="'Fane 11. Tilknyttet aktivitet'!A1" display="Tilknyttet aktivitet"/>
    <hyperlink ref="D28:G28" location="'Fane 12. Bortfald'!A1" display="Bortfald"/>
    <hyperlink ref="D13:G13" location="'Fane 2.1. Økonomisk ramme 2020'!A1" display="Samlet økonomisk ramme for 2020"/>
    <hyperlink ref="D16:G16" location="'Fane 2.4. Økonomisk ramme 2023'!A1" display="Samlet økonomisk ramme for 2023"/>
    <hyperlink ref="D15:G15" location="'Fane 2.3. Økonomisk ramme 2022'!A1" display="Samlet økonomisk ramme for 2022"/>
    <hyperlink ref="D21:G21" location="'Fane 6. Ikke-påvirkelige omk.'!A1" display="Ikke-påvirkelige omkostninger"/>
    <hyperlink ref="D22:G22" location="'Fane 7. Kontrol af ØR2018'!A1" display="Kontrol af den økonomiske ramme for 2018"/>
    <hyperlink ref="D24:G24" location="'Fane 9. Anlægsprojekter'!A1" display="Anlægsprojekter"/>
    <hyperlink ref="D30:G30" location="'Fane 14. Nøgletal'!A1" display="Nøgletal"/>
    <hyperlink ref="D17:G17" location="'Fane 3. Omkostninger i ØR2019'!A1" display="Omkostninger i ØR2019"/>
    <hyperlink ref="D26:G26" location="'Fane 10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  <hyperlink ref="D29:G29" location="'Fane 13. Hist. over-underdæk.'!A1" display="Historisk over- eller underdækning"/>
    <hyperlink ref="D23" location="'Fane 8. Korrektioner'!A1" display="Korrektion af tidligere rammer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0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72" t="s">
        <v>204</v>
      </c>
      <c r="C3" s="72"/>
      <c r="D3" s="72"/>
      <c r="E3" s="1"/>
      <c r="F3" s="1"/>
    </row>
    <row r="4" spans="1:6" ht="15" customHeight="1" x14ac:dyDescent="0.45">
      <c r="A4" s="1"/>
      <c r="B4" s="72"/>
      <c r="C4" s="72"/>
      <c r="D4" s="72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69</v>
      </c>
      <c r="C8" s="96"/>
      <c r="D8" s="97"/>
      <c r="E8" s="1"/>
      <c r="F8" s="1"/>
    </row>
    <row r="9" spans="1:6" ht="15" customHeight="1" x14ac:dyDescent="0.45">
      <c r="A9" s="1"/>
      <c r="B9" s="45" t="s">
        <v>48</v>
      </c>
      <c r="C9" s="11" t="s">
        <v>70</v>
      </c>
      <c r="D9" s="11"/>
      <c r="E9" s="1"/>
      <c r="F9" s="1"/>
    </row>
    <row r="10" spans="1:6" x14ac:dyDescent="0.45">
      <c r="A10" s="1"/>
      <c r="B10" s="48" t="s">
        <v>234</v>
      </c>
      <c r="C10" s="9">
        <v>5804324.8899999997</v>
      </c>
      <c r="D10" s="14" t="s">
        <v>3</v>
      </c>
      <c r="E10" s="1"/>
      <c r="F10" s="1"/>
    </row>
    <row r="11" spans="1:6" x14ac:dyDescent="0.45">
      <c r="A11" s="1"/>
      <c r="B11" s="48" t="s">
        <v>235</v>
      </c>
      <c r="C11" s="9">
        <v>34324</v>
      </c>
      <c r="D11" s="14" t="s">
        <v>3</v>
      </c>
      <c r="E11" s="1"/>
      <c r="F11" s="1"/>
    </row>
    <row r="12" spans="1:6" x14ac:dyDescent="0.45">
      <c r="A12" s="1"/>
      <c r="B12" s="48" t="s">
        <v>236</v>
      </c>
      <c r="C12" s="9">
        <v>7279.93</v>
      </c>
      <c r="D12" s="14" t="s">
        <v>3</v>
      </c>
      <c r="E12" s="1"/>
      <c r="F12" s="1"/>
    </row>
    <row r="13" spans="1:6" x14ac:dyDescent="0.45">
      <c r="A13" s="1"/>
      <c r="B13" s="48" t="s">
        <v>237</v>
      </c>
      <c r="C13" s="9">
        <v>1066776</v>
      </c>
      <c r="D13" s="14" t="s">
        <v>3</v>
      </c>
      <c r="E13" s="1"/>
      <c r="F13" s="1"/>
    </row>
    <row r="14" spans="1:6" x14ac:dyDescent="0.45">
      <c r="A14" s="1"/>
      <c r="B14" s="48" t="s">
        <v>238</v>
      </c>
      <c r="C14" s="9">
        <v>278594.78000000003</v>
      </c>
      <c r="D14" s="14" t="s">
        <v>3</v>
      </c>
      <c r="E14" s="1"/>
      <c r="F14" s="1"/>
    </row>
    <row r="15" spans="1:6" x14ac:dyDescent="0.45">
      <c r="A15" s="1"/>
      <c r="B15" s="39" t="s">
        <v>71</v>
      </c>
      <c r="C15" s="12">
        <f>SUM(C10:C14)</f>
        <v>7191299.5999999996</v>
      </c>
      <c r="D15" s="13" t="s">
        <v>3</v>
      </c>
      <c r="E15" s="1"/>
      <c r="F15" s="1"/>
    </row>
    <row r="16" spans="1:6" x14ac:dyDescent="0.45">
      <c r="A16" s="1"/>
      <c r="B16" s="39" t="s">
        <v>72</v>
      </c>
      <c r="C16" s="12">
        <f>C15*(1+'Fane 14. Nøgletal'!C12)^2</f>
        <v>7477427.6757017644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</sheetData>
  <sheetProtection algorithmName="SHA-512" hashValue="BGX734WzM546iIbGORrt1CTQNKDissQr5tF2NIFGwvrVF3LkBs1UIJER/W+oZQG59lzH7aThFJ2z8HDYYXyuKw==" saltValue="3892v+0hDmwe4fWsUnBdS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205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ht="15" customHeight="1" x14ac:dyDescent="0.45">
      <c r="A5" s="1"/>
      <c r="B5" s="43"/>
      <c r="C5" s="43"/>
      <c r="D5" s="43"/>
      <c r="E5" s="43"/>
      <c r="F5" s="43"/>
      <c r="G5" s="1"/>
    </row>
    <row r="6" spans="1:7" ht="15" customHeight="1" x14ac:dyDescent="0.45">
      <c r="A6" s="1"/>
      <c r="B6" s="95" t="s">
        <v>52</v>
      </c>
      <c r="C6" s="96"/>
      <c r="D6" s="96"/>
      <c r="E6" s="96"/>
      <c r="F6" s="97"/>
      <c r="G6" s="1"/>
    </row>
    <row r="7" spans="1:7" ht="15" customHeight="1" x14ac:dyDescent="0.45">
      <c r="A7" s="1"/>
      <c r="B7" s="98" t="s">
        <v>50</v>
      </c>
      <c r="C7" s="99"/>
      <c r="D7" s="100"/>
      <c r="E7" s="9">
        <v>-346313.80666666664</v>
      </c>
      <c r="F7" s="14" t="s">
        <v>3</v>
      </c>
      <c r="G7" s="1"/>
    </row>
    <row r="8" spans="1:7" ht="15" customHeight="1" x14ac:dyDescent="0.45">
      <c r="A8" s="1"/>
      <c r="B8" s="98" t="s">
        <v>51</v>
      </c>
      <c r="C8" s="99"/>
      <c r="D8" s="100"/>
      <c r="E8" s="9">
        <v>-1060019.522264827</v>
      </c>
      <c r="F8" s="14" t="s">
        <v>3</v>
      </c>
      <c r="G8" s="1"/>
    </row>
    <row r="9" spans="1:7" ht="15" customHeight="1" x14ac:dyDescent="0.45">
      <c r="A9" s="1"/>
      <c r="B9" s="106" t="s">
        <v>186</v>
      </c>
      <c r="C9" s="107"/>
      <c r="D9" s="108"/>
      <c r="E9" s="10">
        <f>SUM(E7:E8)</f>
        <v>-1406333.3289314937</v>
      </c>
      <c r="F9" s="17" t="s">
        <v>3</v>
      </c>
      <c r="G9" s="1"/>
    </row>
    <row r="10" spans="1:7" ht="15" customHeight="1" x14ac:dyDescent="0.45">
      <c r="A10" s="1"/>
      <c r="B10" s="39"/>
      <c r="C10" s="40"/>
      <c r="D10" s="40"/>
      <c r="E10" s="40"/>
      <c r="F10" s="22"/>
      <c r="G10" s="1"/>
    </row>
    <row r="11" spans="1:7" ht="28.5" customHeight="1" x14ac:dyDescent="0.45">
      <c r="A11" s="1"/>
      <c r="B11" s="74" t="s">
        <v>188</v>
      </c>
      <c r="C11" s="75"/>
      <c r="D11" s="75"/>
      <c r="E11" s="75"/>
      <c r="F11" s="76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165</v>
      </c>
      <c r="C14" s="96"/>
      <c r="D14" s="96"/>
      <c r="E14" s="96"/>
      <c r="F14" s="97"/>
      <c r="G14" s="1"/>
    </row>
    <row r="15" spans="1:7" x14ac:dyDescent="0.45">
      <c r="A15" s="1"/>
      <c r="B15" s="98" t="s">
        <v>166</v>
      </c>
      <c r="C15" s="99"/>
      <c r="D15" s="100"/>
      <c r="E15" s="9">
        <v>18183757.164463431</v>
      </c>
      <c r="F15" s="14" t="s">
        <v>3</v>
      </c>
      <c r="G15" s="1"/>
    </row>
    <row r="16" spans="1:7" x14ac:dyDescent="0.45">
      <c r="A16" s="1"/>
      <c r="B16" s="98" t="s">
        <v>167</v>
      </c>
      <c r="C16" s="99"/>
      <c r="D16" s="100"/>
      <c r="E16" s="9">
        <v>15990694</v>
      </c>
      <c r="F16" s="14" t="s">
        <v>3</v>
      </c>
      <c r="G16" s="1"/>
    </row>
    <row r="17" spans="1:7" x14ac:dyDescent="0.45">
      <c r="A17" s="1"/>
      <c r="B17" s="98" t="s">
        <v>49</v>
      </c>
      <c r="C17" s="99"/>
      <c r="D17" s="100"/>
      <c r="E17" s="9">
        <v>0</v>
      </c>
      <c r="F17" s="14" t="s">
        <v>3</v>
      </c>
      <c r="G17" s="1"/>
    </row>
    <row r="18" spans="1:7" x14ac:dyDescent="0.45">
      <c r="A18" s="1"/>
      <c r="B18" s="106" t="s">
        <v>187</v>
      </c>
      <c r="C18" s="107"/>
      <c r="D18" s="108"/>
      <c r="E18" s="10">
        <f>E15-(E16-E17)</f>
        <v>2193063.1644634306</v>
      </c>
      <c r="F18" s="17" t="s">
        <v>3</v>
      </c>
      <c r="G18" s="1"/>
    </row>
    <row r="19" spans="1:7" x14ac:dyDescent="0.45">
      <c r="A19" s="1"/>
      <c r="B19" s="39"/>
      <c r="C19" s="40"/>
      <c r="D19" s="40"/>
      <c r="E19" s="40"/>
      <c r="F19" s="22"/>
      <c r="G19" s="1"/>
    </row>
    <row r="20" spans="1:7" ht="30" customHeight="1" x14ac:dyDescent="0.45">
      <c r="A20" s="1"/>
      <c r="B20" s="74" t="s">
        <v>189</v>
      </c>
      <c r="C20" s="75"/>
      <c r="D20" s="75"/>
      <c r="E20" s="75"/>
      <c r="F20" s="76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95" t="s">
        <v>77</v>
      </c>
      <c r="C23" s="96"/>
      <c r="D23" s="96"/>
      <c r="E23" s="96"/>
      <c r="F23" s="97"/>
      <c r="G23" s="1"/>
    </row>
    <row r="24" spans="1:7" x14ac:dyDescent="0.45">
      <c r="A24" s="1"/>
      <c r="B24" s="98" t="s">
        <v>78</v>
      </c>
      <c r="C24" s="99"/>
      <c r="D24" s="100"/>
      <c r="E24" s="9">
        <v>17324913.917317323</v>
      </c>
      <c r="F24" s="14" t="s">
        <v>3</v>
      </c>
      <c r="G24" s="1"/>
    </row>
    <row r="25" spans="1:7" x14ac:dyDescent="0.45">
      <c r="A25" s="1"/>
      <c r="B25" s="98" t="s">
        <v>79</v>
      </c>
      <c r="C25" s="99"/>
      <c r="D25" s="100"/>
      <c r="E25" s="9">
        <v>15470425.01</v>
      </c>
      <c r="F25" s="14" t="s">
        <v>3</v>
      </c>
      <c r="G25" s="1"/>
    </row>
    <row r="26" spans="1:7" x14ac:dyDescent="0.45">
      <c r="A26" s="1"/>
      <c r="B26" s="98" t="s">
        <v>49</v>
      </c>
      <c r="C26" s="99"/>
      <c r="D26" s="100"/>
      <c r="E26" s="9">
        <v>0</v>
      </c>
      <c r="F26" s="14" t="s">
        <v>3</v>
      </c>
      <c r="G26" s="1"/>
    </row>
    <row r="27" spans="1:7" x14ac:dyDescent="0.45">
      <c r="A27" s="1"/>
      <c r="B27" s="106" t="s">
        <v>187</v>
      </c>
      <c r="C27" s="107"/>
      <c r="D27" s="108"/>
      <c r="E27" s="10">
        <f>E24-(E25-E26)</f>
        <v>1854488.9073173236</v>
      </c>
      <c r="F27" s="17" t="s">
        <v>3</v>
      </c>
      <c r="G27" s="1"/>
    </row>
    <row r="28" spans="1:7" x14ac:dyDescent="0.45">
      <c r="A28" s="1"/>
      <c r="B28" s="39"/>
      <c r="C28" s="40"/>
      <c r="D28" s="40"/>
      <c r="E28" s="40"/>
      <c r="F28" s="22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95" t="s">
        <v>242</v>
      </c>
      <c r="C31" s="96"/>
      <c r="D31" s="96"/>
      <c r="E31" s="96"/>
      <c r="F31" s="97"/>
      <c r="G31" s="1"/>
    </row>
    <row r="32" spans="1:7" x14ac:dyDescent="0.45">
      <c r="A32" s="1"/>
      <c r="B32" s="106" t="s">
        <v>243</v>
      </c>
      <c r="C32" s="107"/>
      <c r="D32" s="108"/>
      <c r="E32" s="10">
        <f>IF(AND(E9&gt;0,E18&gt;0),E9/2,IF(AND(E9&gt;0,E18&lt;0,ABS(E9)&gt;ABS(E18)),(E9+E18)/2,IF(AND(E9&lt;0,E18&gt;0,ABS(E9)&gt;ABS(E18)),(E9+E18)/2,IF(AND(E9&gt;0,E18&lt;0,ABS(E9)&lt;ABS(E18)),(E9+E18)/2+IF(E27+E9+E18&gt;0,E27-(E27+E9+E18),IF(E27+E9+E18=0,E27,IF(AND(E27&gt;0,E27+E9+E18&lt;0),E27,0))),IF(AND(E9&lt;0,E18&lt;0),(E9+E18)/2+IF(E27+E9+E18&gt;0,E27-(E27+E9+E18),IF(E27+E9+E18=0,E27,IF(AND(E27&gt;0,E27+E9+E18&lt;0),E27,0))),0)))))</f>
        <v>0</v>
      </c>
      <c r="F32" s="17" t="s">
        <v>3</v>
      </c>
      <c r="G32" s="1"/>
    </row>
    <row r="33" spans="1:7" x14ac:dyDescent="0.45">
      <c r="A33" s="1"/>
      <c r="B33" s="95"/>
      <c r="C33" s="96"/>
      <c r="D33" s="96"/>
      <c r="E33" s="96"/>
      <c r="F33" s="97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95" t="s">
        <v>180</v>
      </c>
      <c r="C36" s="96"/>
      <c r="D36" s="96"/>
      <c r="E36" s="96"/>
      <c r="F36" s="97"/>
      <c r="G36" s="1"/>
    </row>
    <row r="37" spans="1:7" x14ac:dyDescent="0.45">
      <c r="A37" s="1"/>
      <c r="B37" s="109" t="s">
        <v>53</v>
      </c>
      <c r="C37" s="110"/>
      <c r="D37" s="111"/>
      <c r="E37" s="9">
        <f>IF(AND(E9&gt;0,E18&gt;0),IF(E18+E27&gt;=0,0,IF(E18+E27&lt;0,E18+E27,0)),IF(AND(E9&lt;0,E18&gt;0,ABS(E9)&lt;ABS(E18)),IF(E9+E18+E27&gt;=0,0,IF(E9+E18+E27&lt;0,E9+E18+E27,0)),IF(E27&gt;=0,0,E27)))</f>
        <v>0</v>
      </c>
      <c r="F37" s="14" t="s">
        <v>3</v>
      </c>
      <c r="G37" s="1"/>
    </row>
    <row r="38" spans="1:7" x14ac:dyDescent="0.45">
      <c r="A38" s="1"/>
      <c r="B38" s="109" t="s">
        <v>185</v>
      </c>
      <c r="C38" s="110"/>
      <c r="D38" s="111"/>
      <c r="E38" s="9">
        <v>2</v>
      </c>
      <c r="F38" s="14" t="s">
        <v>27</v>
      </c>
      <c r="G38" s="1"/>
    </row>
    <row r="39" spans="1:7" ht="15" customHeight="1" x14ac:dyDescent="0.45">
      <c r="A39" s="1"/>
      <c r="B39" s="106" t="s">
        <v>227</v>
      </c>
      <c r="C39" s="107"/>
      <c r="D39" s="108"/>
      <c r="E39" s="10">
        <f>E37/E38</f>
        <v>0</v>
      </c>
      <c r="F39" s="17" t="s">
        <v>3</v>
      </c>
      <c r="G39" s="1"/>
    </row>
    <row r="40" spans="1:7" x14ac:dyDescent="0.45">
      <c r="A40" s="1"/>
      <c r="B40" s="95"/>
      <c r="C40" s="96"/>
      <c r="D40" s="96"/>
      <c r="E40" s="96"/>
      <c r="F40" s="97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</sheetData>
  <sheetProtection algorithmName="SHA-512" hashValue="fW1+c82jBdX0ysPJvdqvRsLOJUOOl4HRc3b/VPGScoieAK8NWjpRGbobbbY5LlUfl5r7S/AG2aFYX3iG7iY3fw==" saltValue="w4lTsXG3FX+hYSBO8JysWA==" spinCount="100000" sheet="1" objects="1" scenarios="1"/>
  <mergeCells count="25">
    <mergeCell ref="B40:F40"/>
    <mergeCell ref="B14:F14"/>
    <mergeCell ref="B15:D15"/>
    <mergeCell ref="B16:D16"/>
    <mergeCell ref="B11:F11"/>
    <mergeCell ref="B20:F20"/>
    <mergeCell ref="B31:F31"/>
    <mergeCell ref="B32:D32"/>
    <mergeCell ref="B33:F33"/>
    <mergeCell ref="B27:D27"/>
    <mergeCell ref="B36:F36"/>
    <mergeCell ref="B37:D37"/>
    <mergeCell ref="B38:D38"/>
    <mergeCell ref="B39:D39"/>
    <mergeCell ref="B3:F4"/>
    <mergeCell ref="B23:F23"/>
    <mergeCell ref="B24:D24"/>
    <mergeCell ref="B25:D25"/>
    <mergeCell ref="B26:D26"/>
    <mergeCell ref="B17:D17"/>
    <mergeCell ref="B18:D18"/>
    <mergeCell ref="B6:F6"/>
    <mergeCell ref="B7:D7"/>
    <mergeCell ref="B8:D8"/>
    <mergeCell ref="B9:D9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132812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89" t="s">
        <v>228</v>
      </c>
      <c r="C3" s="89"/>
      <c r="D3" s="89"/>
      <c r="E3" s="89"/>
      <c r="F3" s="89"/>
      <c r="G3" s="1"/>
    </row>
    <row r="4" spans="1:7" ht="1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159</v>
      </c>
      <c r="C8" s="96"/>
      <c r="D8" s="96"/>
      <c r="E8" s="96"/>
      <c r="F8" s="96"/>
      <c r="G8" s="1"/>
    </row>
    <row r="9" spans="1:7" ht="29.25" customHeight="1" x14ac:dyDescent="0.45">
      <c r="A9" s="1"/>
      <c r="B9" s="86" t="s">
        <v>164</v>
      </c>
      <c r="C9" s="87"/>
      <c r="D9" s="88"/>
      <c r="E9" s="10">
        <f>IF((('Fane 3. Omkostninger i ØR2019'!E26+'Fane 3. Omkostninger i ØR2019'!E30)-('Fane 3. Omkostninger i ØR2019'!E26+'Fane 3. Omkostninger i ØR2019'!E30)/(1+'Fane 14. Nøgletal'!C11)^2)+IF('Fane 7. Kontrol af ØR2018'!E9*(1+'Fane 14. Nøgletal'!C10)&gt;0,(('Fane 7. Kontrol af ØR2018'!E9*(1+'Fane 14. Nøgletal'!C10)-'Fane 7. Kontrol af ØR2018'!E9*(1+'Fane 14. Nøgletal'!C10)/(1+'Fane 14. Nøgletal'!C10))/2),0)&lt;0,-((('Fane 3. Omkostninger i ØR2019'!E26+'Fane 3. Omkostninger i ØR2019'!E30)-('Fane 3. Omkostninger i ØR2019'!E26+'Fane 3. Omkostninger i ØR2019'!E30)/(1+'Fane 14. Nøgletal'!C11)^2)+('Fane 7. Kontrol af ØR2018'!E9*(1+'Fane 14. Nøgletal'!C10)-'Fane 7. Kontrol af ØR2018'!E9*(1+'Fane 14. Nøgletal'!C10)/(1+'Fane 14. Nøgletal'!C10))/2),0)</f>
        <v>0</v>
      </c>
      <c r="F9" s="11" t="s">
        <v>3</v>
      </c>
      <c r="G9" s="1"/>
    </row>
    <row r="10" spans="1:7" x14ac:dyDescent="0.45">
      <c r="A10" s="1"/>
      <c r="B10" s="39" t="s">
        <v>175</v>
      </c>
      <c r="C10" s="40"/>
      <c r="D10" s="40"/>
      <c r="E10" s="12">
        <f>E9</f>
        <v>0</v>
      </c>
      <c r="F10" s="13" t="s">
        <v>3</v>
      </c>
      <c r="G10" s="1"/>
    </row>
    <row r="11" spans="1:7" x14ac:dyDescent="0.45">
      <c r="A11" s="1"/>
      <c r="B11" s="1"/>
      <c r="C11" s="1"/>
      <c r="D11" s="1"/>
      <c r="E11" s="1"/>
      <c r="F11" s="1"/>
      <c r="G11" s="1"/>
    </row>
    <row r="12" spans="1:7" x14ac:dyDescent="0.45">
      <c r="A12" s="1"/>
      <c r="B12" s="1"/>
      <c r="C12" s="1"/>
      <c r="D12" s="1"/>
      <c r="E12" s="1"/>
      <c r="F12" s="1"/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DU33JZQl17wGJaYnAv7zBCseRpGksVAa3P0/3oFA4rzNuzE2CeU/KtvawcRyLe/hn0riLOs4sKszCyoeNPQkOA==" saltValue="v1/Ug7424DsaCQ/EpfnDfQ==" spinCount="100000" sheet="1" objects="1" scenarios="1"/>
  <mergeCells count="3">
    <mergeCell ref="B8:F8"/>
    <mergeCell ref="B9:D9"/>
    <mergeCell ref="B3:F4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229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230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21" t="s">
        <v>0</v>
      </c>
      <c r="C9" s="21" t="s">
        <v>1</v>
      </c>
      <c r="D9" s="21" t="s">
        <v>14</v>
      </c>
      <c r="E9" s="11" t="s">
        <v>2</v>
      </c>
      <c r="F9" s="11" t="s">
        <v>16</v>
      </c>
      <c r="G9" s="11" t="s">
        <v>46</v>
      </c>
      <c r="H9" s="42"/>
      <c r="I9" s="1"/>
    </row>
    <row r="10" spans="1:9" x14ac:dyDescent="0.45">
      <c r="A10" s="1"/>
      <c r="B10" s="115" t="s">
        <v>240</v>
      </c>
      <c r="C10" s="116"/>
      <c r="D10" s="9"/>
      <c r="E10" s="9"/>
      <c r="F10" s="9"/>
      <c r="G10" s="9"/>
      <c r="H10" s="14" t="s">
        <v>3</v>
      </c>
      <c r="I10" s="1"/>
    </row>
    <row r="11" spans="1:9" x14ac:dyDescent="0.45">
      <c r="A11" s="1"/>
      <c r="B11" s="95" t="s">
        <v>231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5MQXEqzZR79t7Vh8inR3jj1IKOXHZhRiUumZI9JrD+xB9yiE79vLErPqfrwdsCN5BAjnqacTic0DlU60ajq0/A==" saltValue="dRpLY+wOtfeacYaLsnXRQ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206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137</v>
      </c>
      <c r="C8" s="40"/>
      <c r="D8" s="40"/>
      <c r="E8" s="40"/>
      <c r="F8" s="22"/>
      <c r="G8" s="1"/>
    </row>
    <row r="9" spans="1:7" ht="17.25" customHeight="1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241</v>
      </c>
      <c r="C10" s="24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9" t="s">
        <v>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74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vHhoCOpAzf/mDNwikAUBpjgxe5GDFo+e99J8XRo92Ypl3cJprwZiK5zWgpaTiGGeUsM2wl4FpdUfNwIfoqjCsw==" saltValue="Pw0vpib67eXlX8oHKWQOh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72" t="s">
        <v>207</v>
      </c>
      <c r="C3" s="72"/>
      <c r="D3" s="72"/>
      <c r="E3" s="72"/>
      <c r="F3" s="72"/>
      <c r="G3" s="1"/>
    </row>
    <row r="4" spans="1:7" ht="15" customHeight="1" x14ac:dyDescent="0.45">
      <c r="A4" s="1"/>
      <c r="B4" s="72"/>
      <c r="C4" s="72"/>
      <c r="D4" s="72"/>
      <c r="E4" s="72"/>
      <c r="F4" s="72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168</v>
      </c>
      <c r="C8" s="96"/>
      <c r="D8" s="96"/>
      <c r="E8" s="96"/>
      <c r="F8" s="97"/>
      <c r="G8" s="1"/>
    </row>
    <row r="9" spans="1:7" x14ac:dyDescent="0.45">
      <c r="A9" s="1"/>
      <c r="B9" s="46" t="s">
        <v>24</v>
      </c>
      <c r="C9" s="46" t="s">
        <v>16</v>
      </c>
      <c r="D9" s="47"/>
      <c r="E9" s="46" t="s">
        <v>47</v>
      </c>
      <c r="F9" s="42"/>
      <c r="G9" s="1"/>
    </row>
    <row r="10" spans="1:7" x14ac:dyDescent="0.45">
      <c r="A10" s="1"/>
      <c r="B10" s="27" t="s">
        <v>239</v>
      </c>
      <c r="C10" s="24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172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9" t="s">
        <v>10</v>
      </c>
      <c r="C12" s="30">
        <f>-C11*'Fane 5. Individuelt eff. krav'!G10</f>
        <v>0</v>
      </c>
      <c r="D12" s="31" t="s">
        <v>3</v>
      </c>
      <c r="E12" s="30">
        <f>-E11*'Fane 5. Individuelt eff. krav'!G10</f>
        <v>0</v>
      </c>
      <c r="F12" s="31" t="s">
        <v>3</v>
      </c>
      <c r="G12" s="1"/>
    </row>
    <row r="13" spans="1:7" x14ac:dyDescent="0.45">
      <c r="A13" s="1"/>
      <c r="B13" s="29" t="s">
        <v>176</v>
      </c>
      <c r="C13" s="30">
        <f>-C11*'Fane 14. Nøgletal'!C25</f>
        <v>0</v>
      </c>
      <c r="D13" s="31" t="s">
        <v>3</v>
      </c>
      <c r="E13" s="30">
        <f>-E11*'Fane 14. Nøgletal'!C20</f>
        <v>0</v>
      </c>
      <c r="F13" s="31" t="s">
        <v>3</v>
      </c>
      <c r="G13" s="1"/>
    </row>
    <row r="14" spans="1:7" x14ac:dyDescent="0.45">
      <c r="A14" s="1"/>
      <c r="B14" s="39" t="s">
        <v>173</v>
      </c>
      <c r="C14" s="12">
        <f>SUM(C11:C13)*(1+'Fane 14. Nøgletal'!C12)^2</f>
        <v>0</v>
      </c>
      <c r="D14" s="13" t="s">
        <v>3</v>
      </c>
      <c r="E14" s="12">
        <f>SUM(E11:E13)*(1+'Fane 14. Nøgletal'!C12)^2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169</v>
      </c>
      <c r="C16" s="96"/>
      <c r="D16" s="96"/>
      <c r="E16" s="96"/>
      <c r="F16" s="97"/>
      <c r="G16" s="1"/>
    </row>
    <row r="17" spans="1:7" x14ac:dyDescent="0.45">
      <c r="A17" s="1"/>
      <c r="B17" s="46" t="s">
        <v>24</v>
      </c>
      <c r="C17" s="46" t="s">
        <v>16</v>
      </c>
      <c r="D17" s="47"/>
      <c r="E17" s="46" t="s">
        <v>47</v>
      </c>
      <c r="F17" s="42"/>
      <c r="G17" s="1"/>
    </row>
    <row r="18" spans="1:7" x14ac:dyDescent="0.45">
      <c r="A18" s="1"/>
      <c r="B18" s="27" t="s">
        <v>239</v>
      </c>
      <c r="C18" s="24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9" t="s">
        <v>172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9" t="s">
        <v>10</v>
      </c>
      <c r="C20" s="30">
        <f>-C19*'Fane 5. Individuelt eff. krav'!G10</f>
        <v>0</v>
      </c>
      <c r="D20" s="31" t="s">
        <v>3</v>
      </c>
      <c r="E20" s="30">
        <f>-E19*'Fane 5. Individuelt eff. krav'!G10</f>
        <v>0</v>
      </c>
      <c r="F20" s="31" t="s">
        <v>3</v>
      </c>
      <c r="G20" s="1"/>
    </row>
    <row r="21" spans="1:7" x14ac:dyDescent="0.45">
      <c r="A21" s="1"/>
      <c r="B21" s="29" t="s">
        <v>176</v>
      </c>
      <c r="C21" s="30">
        <f>-C19*'Fane 14. Nøgletal'!C25</f>
        <v>0</v>
      </c>
      <c r="D21" s="31" t="s">
        <v>3</v>
      </c>
      <c r="E21" s="30">
        <f>-E19*'Fane 14. Nøgletal'!C20</f>
        <v>0</v>
      </c>
      <c r="F21" s="31" t="s">
        <v>3</v>
      </c>
      <c r="G21" s="1"/>
    </row>
    <row r="22" spans="1:7" x14ac:dyDescent="0.45">
      <c r="A22" s="1"/>
      <c r="B22" s="39" t="s">
        <v>174</v>
      </c>
      <c r="C22" s="12">
        <f>SUM(C19:C21)*(1+'Fane 14. Nøgletal'!C12)^3</f>
        <v>0</v>
      </c>
      <c r="D22" s="13" t="s">
        <v>3</v>
      </c>
      <c r="E22" s="12">
        <f>SUM(E19:E21)*(1+'Fane 14. Nøgletal'!C12)^3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170</v>
      </c>
      <c r="C24" s="96"/>
      <c r="D24" s="96"/>
      <c r="E24" s="96"/>
      <c r="F24" s="97"/>
      <c r="G24" s="1"/>
    </row>
    <row r="25" spans="1:7" x14ac:dyDescent="0.45">
      <c r="A25" s="1"/>
      <c r="B25" s="46" t="s">
        <v>24</v>
      </c>
      <c r="C25" s="46" t="s">
        <v>16</v>
      </c>
      <c r="D25" s="47"/>
      <c r="E25" s="46" t="s">
        <v>47</v>
      </c>
      <c r="F25" s="42"/>
      <c r="G25" s="1"/>
    </row>
    <row r="26" spans="1:7" x14ac:dyDescent="0.45">
      <c r="A26" s="1"/>
      <c r="B26" s="27" t="s">
        <v>239</v>
      </c>
      <c r="C26" s="24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9" t="s">
        <v>172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9" t="s">
        <v>10</v>
      </c>
      <c r="C28" s="30">
        <f>-C27*'Fane 5. Individuelt eff. krav'!G10</f>
        <v>0</v>
      </c>
      <c r="D28" s="31" t="s">
        <v>3</v>
      </c>
      <c r="E28" s="30">
        <f>-E27*'Fane 5. Individuelt eff. krav'!G10</f>
        <v>0</v>
      </c>
      <c r="F28" s="31" t="s">
        <v>3</v>
      </c>
      <c r="G28" s="1"/>
    </row>
    <row r="29" spans="1:7" x14ac:dyDescent="0.45">
      <c r="A29" s="1"/>
      <c r="B29" s="29" t="s">
        <v>176</v>
      </c>
      <c r="C29" s="30">
        <f>-C27*'Fane 14. Nøgletal'!C25</f>
        <v>0</v>
      </c>
      <c r="D29" s="31" t="s">
        <v>3</v>
      </c>
      <c r="E29" s="30">
        <f>-E27*'Fane 14. Nøgletal'!C20</f>
        <v>0</v>
      </c>
      <c r="F29" s="31" t="s">
        <v>3</v>
      </c>
      <c r="G29" s="1"/>
    </row>
    <row r="30" spans="1:7" x14ac:dyDescent="0.45">
      <c r="A30" s="1"/>
      <c r="B30" s="39" t="s">
        <v>174</v>
      </c>
      <c r="C30" s="12">
        <f>SUM(C27:C29)*(1+'Fane 14. Nøgletal'!C12)^4</f>
        <v>0</v>
      </c>
      <c r="D30" s="13" t="s">
        <v>3</v>
      </c>
      <c r="E30" s="12">
        <f>SUM(E27:E29)*(1+'Fane 14. Nøgletal'!C12)^4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171</v>
      </c>
      <c r="C32" s="96"/>
      <c r="D32" s="96"/>
      <c r="E32" s="96"/>
      <c r="F32" s="97"/>
      <c r="G32" s="1"/>
    </row>
    <row r="33" spans="1:7" x14ac:dyDescent="0.45">
      <c r="A33" s="1"/>
      <c r="B33" s="46" t="s">
        <v>24</v>
      </c>
      <c r="C33" s="46" t="s">
        <v>16</v>
      </c>
      <c r="D33" s="47"/>
      <c r="E33" s="46" t="s">
        <v>47</v>
      </c>
      <c r="F33" s="42"/>
      <c r="G33" s="1"/>
    </row>
    <row r="34" spans="1:7" x14ac:dyDescent="0.45">
      <c r="A34" s="1"/>
      <c r="B34" s="27" t="s">
        <v>239</v>
      </c>
      <c r="C34" s="24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9" t="s">
        <v>172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9" t="s">
        <v>10</v>
      </c>
      <c r="C36" s="30">
        <f>-C35*'Fane 5. Individuelt eff. krav'!G10</f>
        <v>0</v>
      </c>
      <c r="D36" s="31" t="s">
        <v>3</v>
      </c>
      <c r="E36" s="30">
        <f>-E35*'Fane 5. Individuelt eff. krav'!G10</f>
        <v>0</v>
      </c>
      <c r="F36" s="31" t="s">
        <v>3</v>
      </c>
      <c r="G36" s="1"/>
    </row>
    <row r="37" spans="1:7" x14ac:dyDescent="0.45">
      <c r="A37" s="1"/>
      <c r="B37" s="29" t="s">
        <v>176</v>
      </c>
      <c r="C37" s="30">
        <f>-C35*'Fane 14. Nøgletal'!C25</f>
        <v>0</v>
      </c>
      <c r="D37" s="31" t="s">
        <v>3</v>
      </c>
      <c r="E37" s="30">
        <f>-E35*'Fane 14. Nøgletal'!C20</f>
        <v>0</v>
      </c>
      <c r="F37" s="31" t="s">
        <v>3</v>
      </c>
      <c r="G37" s="1"/>
    </row>
    <row r="38" spans="1:7" x14ac:dyDescent="0.45">
      <c r="A38" s="1"/>
      <c r="B38" s="39" t="s">
        <v>174</v>
      </c>
      <c r="C38" s="12">
        <f>SUM(C35:C37)*(1+'Fane 14. Nøgletal'!C12)^5</f>
        <v>0</v>
      </c>
      <c r="D38" s="13" t="s">
        <v>3</v>
      </c>
      <c r="E38" s="12">
        <f>SUM(E35:E37)*(1+'Fane 14. Nøgletal'!C12)^5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YzTpccdXwDhxfKeuNu8qcM2kMDr4KrUUAJ2xqq5rlehZA+eIue21C73gOJLU4tcmZqS8nNgzgK5yDWi5n0ppDQ==" saltValue="ZPgQPuindnaW3gDeXkHYkg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208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31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32</v>
      </c>
      <c r="C9" s="86" t="s">
        <v>16</v>
      </c>
      <c r="D9" s="88"/>
      <c r="E9" s="86" t="s">
        <v>47</v>
      </c>
      <c r="F9" s="88"/>
      <c r="G9" s="1"/>
    </row>
    <row r="10" spans="1:7" x14ac:dyDescent="0.45">
      <c r="A10" s="1"/>
      <c r="B10" s="27" t="s">
        <v>232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3" t="s">
        <v>33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3" t="s">
        <v>76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Px/ZvNNHYbGWtm9ScjJyNqsisQameV/552MXt8IufkKiq35yFeL/AvnMN3mCpdlkq3Gt73nO5MX32VjgprNfmA==" saltValue="NepTH+K4Q1KOIOF/vkBgpg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3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209</v>
      </c>
      <c r="C3" s="89"/>
      <c r="D3" s="89"/>
      <c r="E3" s="89"/>
      <c r="F3" s="89"/>
      <c r="G3" s="1"/>
    </row>
    <row r="4" spans="1:7" ht="25.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156</v>
      </c>
      <c r="C8" s="96"/>
      <c r="D8" s="96"/>
      <c r="E8" s="96"/>
      <c r="F8" s="97"/>
      <c r="G8" s="1"/>
    </row>
    <row r="9" spans="1:7" ht="15" customHeight="1" x14ac:dyDescent="0.45">
      <c r="A9" s="1"/>
      <c r="B9" s="41" t="s">
        <v>25</v>
      </c>
      <c r="C9" s="41" t="s">
        <v>16</v>
      </c>
      <c r="D9" s="42"/>
      <c r="E9" s="41" t="s">
        <v>47</v>
      </c>
      <c r="F9" s="42"/>
      <c r="G9" s="1"/>
    </row>
    <row r="10" spans="1:7" x14ac:dyDescent="0.45">
      <c r="A10" s="1"/>
      <c r="B10" s="27" t="s">
        <v>233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9" t="s">
        <v>64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9" t="s">
        <v>75</v>
      </c>
      <c r="C12" s="12">
        <f>C11*(1+'Fane 14. Nøgletal'!C12)</f>
        <v>0</v>
      </c>
      <c r="D12" s="13" t="s">
        <v>3</v>
      </c>
      <c r="E12" s="12">
        <f>E11*(1+'Fane 14. Nøgletal'!C12)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95" t="s">
        <v>157</v>
      </c>
      <c r="C15" s="96"/>
      <c r="D15" s="96"/>
      <c r="E15" s="96"/>
      <c r="F15" s="97"/>
      <c r="G15" s="1"/>
    </row>
    <row r="16" spans="1:7" x14ac:dyDescent="0.45">
      <c r="A16" s="1"/>
      <c r="B16" s="41" t="s">
        <v>25</v>
      </c>
      <c r="C16" s="41" t="s">
        <v>16</v>
      </c>
      <c r="D16" s="42"/>
      <c r="E16" s="41" t="s">
        <v>47</v>
      </c>
      <c r="F16" s="42"/>
      <c r="G16" s="1"/>
    </row>
    <row r="17" spans="1:7" x14ac:dyDescent="0.45">
      <c r="A17" s="1"/>
      <c r="B17" s="27" t="s">
        <v>233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39" t="s">
        <v>64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39" t="s">
        <v>148</v>
      </c>
      <c r="C19" s="12">
        <f>C18*(1+'Fane 14. Nøgletal'!C12)^2</f>
        <v>0</v>
      </c>
      <c r="D19" s="13" t="s">
        <v>3</v>
      </c>
      <c r="E19" s="12">
        <f>E18*(1+'Fane 14. Nøgletal'!C12)^2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95" t="s">
        <v>155</v>
      </c>
      <c r="C22" s="96"/>
      <c r="D22" s="96"/>
      <c r="E22" s="96"/>
      <c r="F22" s="97"/>
      <c r="G22" s="1"/>
    </row>
    <row r="23" spans="1:7" x14ac:dyDescent="0.45">
      <c r="A23" s="1"/>
      <c r="B23" s="41" t="s">
        <v>25</v>
      </c>
      <c r="C23" s="41" t="s">
        <v>16</v>
      </c>
      <c r="D23" s="42"/>
      <c r="E23" s="41" t="s">
        <v>47</v>
      </c>
      <c r="F23" s="42"/>
      <c r="G23" s="1"/>
    </row>
    <row r="24" spans="1:7" x14ac:dyDescent="0.45">
      <c r="A24" s="1"/>
      <c r="B24" s="27" t="s">
        <v>233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39" t="s">
        <v>64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39" t="s">
        <v>149</v>
      </c>
      <c r="C26" s="12">
        <f>C25*(1+'Fane 14. Nøgletal'!C12)^3</f>
        <v>0</v>
      </c>
      <c r="D26" s="13" t="s">
        <v>3</v>
      </c>
      <c r="E26" s="12">
        <f>E25*(1+'Fane 14. Nøgletal'!C12)^3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95" t="s">
        <v>158</v>
      </c>
      <c r="C29" s="96"/>
      <c r="D29" s="96"/>
      <c r="E29" s="96"/>
      <c r="F29" s="97"/>
      <c r="G29" s="1"/>
    </row>
    <row r="30" spans="1:7" x14ac:dyDescent="0.45">
      <c r="A30" s="1"/>
      <c r="B30" s="41" t="s">
        <v>25</v>
      </c>
      <c r="C30" s="41" t="s">
        <v>16</v>
      </c>
      <c r="D30" s="42"/>
      <c r="E30" s="41" t="s">
        <v>47</v>
      </c>
      <c r="F30" s="42"/>
      <c r="G30" s="1"/>
    </row>
    <row r="31" spans="1:7" x14ac:dyDescent="0.45">
      <c r="A31" s="1"/>
      <c r="B31" s="27" t="s">
        <v>233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39" t="s">
        <v>64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39" t="s">
        <v>150</v>
      </c>
      <c r="C33" s="12">
        <f>C32*(1+'Fane 14. Nøgletal'!C12)^4</f>
        <v>0</v>
      </c>
      <c r="D33" s="13" t="s">
        <v>3</v>
      </c>
      <c r="E33" s="12">
        <f>E32*(1+'Fane 14. Nøgletal'!C12)^4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</sheetData>
  <sheetProtection algorithmName="SHA-512" hashValue="Kc86ixfZezym6jU20abxUSN4MYH6Nju9yjHjELm+mhlvKWabdqk2eISPPldajFVGqhOZ9SxQNK1qaZTj4NaF0g==" saltValue="LX12lbSLxdotUY2onAHus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15.1328125" style="2" customWidth="1"/>
    <col min="5" max="5" width="9.1328125" style="2"/>
    <col min="6" max="6" width="14.1328125" style="2" customWidth="1"/>
    <col min="7" max="7" width="10.265625" style="2" customWidth="1"/>
    <col min="8" max="8" width="3.1328125" style="2" customWidth="1"/>
    <col min="9" max="9" width="9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210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18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12</v>
      </c>
      <c r="C9" s="99"/>
      <c r="D9" s="99"/>
      <c r="E9" s="99"/>
      <c r="F9" s="100"/>
      <c r="G9" s="9">
        <v>2642867</v>
      </c>
      <c r="H9" s="14" t="s">
        <v>3</v>
      </c>
      <c r="I9" s="1"/>
    </row>
    <row r="10" spans="1:9" x14ac:dyDescent="0.45">
      <c r="A10" s="1"/>
      <c r="B10" s="98" t="s">
        <v>135</v>
      </c>
      <c r="C10" s="99"/>
      <c r="D10" s="99"/>
      <c r="E10" s="99"/>
      <c r="F10" s="100"/>
      <c r="G10" s="9">
        <v>0</v>
      </c>
      <c r="H10" s="14" t="s">
        <v>3</v>
      </c>
      <c r="I10" s="1"/>
    </row>
    <row r="11" spans="1:9" x14ac:dyDescent="0.45">
      <c r="A11" s="1"/>
      <c r="B11" s="98" t="s">
        <v>80</v>
      </c>
      <c r="C11" s="99"/>
      <c r="D11" s="99"/>
      <c r="E11" s="99"/>
      <c r="F11" s="100"/>
      <c r="G11" s="9">
        <v>-2642867.2333333334</v>
      </c>
      <c r="H11" s="14" t="s">
        <v>3</v>
      </c>
      <c r="I11" s="1"/>
    </row>
    <row r="12" spans="1:9" x14ac:dyDescent="0.45">
      <c r="A12" s="1"/>
      <c r="B12" s="112" t="s">
        <v>15</v>
      </c>
      <c r="C12" s="113"/>
      <c r="D12" s="113"/>
      <c r="E12" s="113"/>
      <c r="F12" s="114"/>
      <c r="G12" s="19">
        <f>(G9+G10)+G11</f>
        <v>-0.2333333333954215</v>
      </c>
      <c r="H12" s="18" t="s">
        <v>3</v>
      </c>
      <c r="I12" s="1"/>
    </row>
    <row r="13" spans="1:9" x14ac:dyDescent="0.45">
      <c r="A13" s="1"/>
      <c r="B13" s="98" t="s">
        <v>13</v>
      </c>
      <c r="C13" s="99"/>
      <c r="D13" s="99"/>
      <c r="E13" s="99"/>
      <c r="F13" s="100"/>
      <c r="G13" s="9">
        <v>0</v>
      </c>
      <c r="H13" s="14" t="s">
        <v>27</v>
      </c>
      <c r="I13" s="1"/>
    </row>
    <row r="14" spans="1:9" x14ac:dyDescent="0.45">
      <c r="A14" s="1"/>
      <c r="B14" s="95" t="s">
        <v>136</v>
      </c>
      <c r="C14" s="96"/>
      <c r="D14" s="96"/>
      <c r="E14" s="96"/>
      <c r="F14" s="97"/>
      <c r="G14" s="12">
        <f>IF(G13 = 0,0,-G12/G13)</f>
        <v>0</v>
      </c>
      <c r="H14" s="13" t="s">
        <v>3</v>
      </c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0femj7vK8ZVaVDbX5StbA9PU3YXn7Y5cYDBZ35ni4266L4ayZdHlEbDiRpvzUigs5fhbhZLS5nOOu82TjqVv9Q==" saltValue="utKgtgsGQZT0ET8p23i14g==" spinCount="100000" sheet="1" objects="1" scenarios="1"/>
  <mergeCells count="8">
    <mergeCell ref="B13:F13"/>
    <mergeCell ref="B14:F14"/>
    <mergeCell ref="B3:H4"/>
    <mergeCell ref="B8:H8"/>
    <mergeCell ref="B9:F9"/>
    <mergeCell ref="B11:F11"/>
    <mergeCell ref="B12:F12"/>
    <mergeCell ref="B10:F1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0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89" t="s">
        <v>54</v>
      </c>
      <c r="C3" s="89"/>
      <c r="D3" s="1"/>
    </row>
    <row r="4" spans="1:4" ht="25.5" customHeight="1" x14ac:dyDescent="0.45">
      <c r="A4" s="1"/>
      <c r="B4" s="89"/>
      <c r="C4" s="89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9" t="s">
        <v>21</v>
      </c>
      <c r="C8" s="22"/>
      <c r="D8" s="1"/>
    </row>
    <row r="9" spans="1:4" x14ac:dyDescent="0.45">
      <c r="A9" s="1"/>
      <c r="B9" s="48" t="s">
        <v>211</v>
      </c>
      <c r="C9" s="28">
        <v>1.2699999999999999E-2</v>
      </c>
      <c r="D9" s="1"/>
    </row>
    <row r="10" spans="1:4" x14ac:dyDescent="0.45">
      <c r="A10" s="1"/>
      <c r="B10" s="48" t="s">
        <v>30</v>
      </c>
      <c r="C10" s="28">
        <v>1.7500000000000002E-2</v>
      </c>
      <c r="D10" s="1"/>
    </row>
    <row r="11" spans="1:4" x14ac:dyDescent="0.45">
      <c r="A11" s="1"/>
      <c r="B11" s="48" t="s">
        <v>212</v>
      </c>
      <c r="C11" s="28">
        <v>1.6899999999999998E-2</v>
      </c>
      <c r="D11" s="1"/>
    </row>
    <row r="12" spans="1:4" x14ac:dyDescent="0.45">
      <c r="A12" s="1"/>
      <c r="B12" s="35" t="s">
        <v>73</v>
      </c>
      <c r="C12" s="36">
        <v>1.9699999999999999E-2</v>
      </c>
      <c r="D12" s="1"/>
    </row>
    <row r="13" spans="1:4" x14ac:dyDescent="0.45">
      <c r="A13" s="1"/>
      <c r="B13" s="95"/>
      <c r="C13" s="97"/>
      <c r="D13" s="1"/>
    </row>
    <row r="14" spans="1:4" x14ac:dyDescent="0.45">
      <c r="A14" s="1"/>
      <c r="B14" s="1"/>
      <c r="C14" s="1"/>
      <c r="D14" s="1"/>
    </row>
    <row r="15" spans="1:4" x14ac:dyDescent="0.45">
      <c r="A15" s="1"/>
      <c r="B15" s="1"/>
      <c r="C15" s="1"/>
      <c r="D15" s="1"/>
    </row>
    <row r="16" spans="1:4" x14ac:dyDescent="0.45">
      <c r="A16" s="1"/>
      <c r="B16" s="39" t="s">
        <v>181</v>
      </c>
      <c r="C16" s="22"/>
      <c r="D16" s="1"/>
    </row>
    <row r="17" spans="1:4" x14ac:dyDescent="0.45">
      <c r="A17" s="1"/>
      <c r="B17" s="48" t="s">
        <v>213</v>
      </c>
      <c r="C17" s="25">
        <v>9.1000000000000004E-3</v>
      </c>
      <c r="D17" s="1"/>
    </row>
    <row r="18" spans="1:4" x14ac:dyDescent="0.45">
      <c r="A18" s="1"/>
      <c r="B18" s="48" t="s">
        <v>214</v>
      </c>
      <c r="C18" s="25">
        <v>1.77E-2</v>
      </c>
      <c r="D18" s="1"/>
    </row>
    <row r="19" spans="1:4" x14ac:dyDescent="0.45">
      <c r="A19" s="1"/>
      <c r="B19" s="48" t="s">
        <v>215</v>
      </c>
      <c r="C19" s="25">
        <v>8.6999999999999994E-3</v>
      </c>
      <c r="D19" s="1"/>
    </row>
    <row r="20" spans="1:4" x14ac:dyDescent="0.45">
      <c r="A20" s="1"/>
      <c r="B20" s="48" t="s">
        <v>216</v>
      </c>
      <c r="C20" s="37">
        <v>2.8400000000000002E-2</v>
      </c>
      <c r="D20" s="1"/>
    </row>
    <row r="21" spans="1:4" x14ac:dyDescent="0.45">
      <c r="A21" s="1"/>
      <c r="B21" s="39"/>
      <c r="C21" s="22"/>
      <c r="D21" s="1"/>
    </row>
    <row r="22" spans="1:4" x14ac:dyDescent="0.45">
      <c r="A22" s="1"/>
      <c r="B22" s="1"/>
      <c r="C22" s="1"/>
      <c r="D22" s="1"/>
    </row>
    <row r="23" spans="1:4" x14ac:dyDescent="0.45">
      <c r="A23" s="1"/>
      <c r="B23" s="1"/>
      <c r="C23" s="1"/>
      <c r="D23" s="1"/>
    </row>
    <row r="24" spans="1:4" x14ac:dyDescent="0.45">
      <c r="A24" s="1"/>
      <c r="B24" s="39" t="s">
        <v>182</v>
      </c>
      <c r="C24" s="22"/>
      <c r="D24" s="1"/>
    </row>
    <row r="25" spans="1:4" x14ac:dyDescent="0.45">
      <c r="A25" s="1"/>
      <c r="B25" s="48" t="s">
        <v>217</v>
      </c>
      <c r="C25" s="28">
        <v>0.02</v>
      </c>
      <c r="D25" s="1"/>
    </row>
    <row r="26" spans="1:4" x14ac:dyDescent="0.45">
      <c r="A26" s="1"/>
      <c r="B26" s="39"/>
      <c r="C26" s="22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1"/>
      <c r="C28" s="1"/>
      <c r="D28" s="1"/>
    </row>
    <row r="29" spans="1:4" x14ac:dyDescent="0.45">
      <c r="A29" s="1"/>
      <c r="B29" s="1"/>
      <c r="C29" s="1"/>
      <c r="D29" s="1"/>
    </row>
    <row r="30" spans="1:4" x14ac:dyDescent="0.45">
      <c r="A30" s="1"/>
      <c r="B30" s="1"/>
      <c r="C30" s="1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</sheetData>
  <sheetProtection algorithmName="SHA-512" hashValue="XUxkY1p9/bSo7LWPopV6cdTUSDeSqelwlhMCO0FrDAPmRHI6t1rABbwU0T2AWWL1htJxA7beHr3NSgGNQag4Ww==" saltValue="MBuXSLnaxy9295bg4DRdTg==" spinCount="100000" sheet="1" objects="1" scenarios="1"/>
  <mergeCells count="2">
    <mergeCell ref="B3:C4"/>
    <mergeCell ref="B13:C13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65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x14ac:dyDescent="0.45">
      <c r="A9" s="1"/>
      <c r="B9" s="44" t="s">
        <v>34</v>
      </c>
      <c r="C9" s="7">
        <f>'Fane 3. Omkostninger i ØR2019'!E22</f>
        <v>11058061.153033026</v>
      </c>
      <c r="D9" s="8" t="s">
        <v>3</v>
      </c>
      <c r="E9" s="1"/>
    </row>
    <row r="10" spans="1:5" ht="17.100000000000001" customHeight="1" x14ac:dyDescent="0.45">
      <c r="A10" s="1"/>
      <c r="B10" s="32" t="s">
        <v>67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32" t="s">
        <v>68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32" t="s">
        <v>41</v>
      </c>
      <c r="C12" s="9">
        <f>-'Fane 12.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32" t="s">
        <v>40</v>
      </c>
      <c r="C13" s="9">
        <f>-'Fane 12.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32" t="s">
        <v>43</v>
      </c>
      <c r="C14" s="9">
        <f>'Fane 11. Tilknyttet aktivitet'!C12</f>
        <v>0</v>
      </c>
      <c r="D14" s="8" t="s">
        <v>3</v>
      </c>
      <c r="E14" s="1"/>
    </row>
    <row r="15" spans="1:5" ht="17.100000000000001" customHeight="1" x14ac:dyDescent="0.45">
      <c r="A15" s="1"/>
      <c r="B15" s="32" t="s">
        <v>42</v>
      </c>
      <c r="C15" s="9">
        <f>'Fane 11. Tilknyttet aktivitet'!E12</f>
        <v>0</v>
      </c>
      <c r="D15" s="8" t="s">
        <v>3</v>
      </c>
      <c r="E15" s="1"/>
    </row>
    <row r="16" spans="1:5" ht="17.100000000000001" customHeight="1" x14ac:dyDescent="0.45">
      <c r="A16" s="1"/>
      <c r="B16" s="32" t="s">
        <v>26</v>
      </c>
      <c r="C16" s="9">
        <f>C9*'Fane 14. Nøgletal'!C11+SUM(C10:C15)*'Fane 14. Nøgletal'!C12</f>
        <v>186881.2334862581</v>
      </c>
      <c r="D16" s="8" t="s">
        <v>3</v>
      </c>
      <c r="E16" s="1"/>
    </row>
    <row r="17" spans="1:5" ht="17.100000000000001" customHeight="1" x14ac:dyDescent="0.45">
      <c r="A17" s="1"/>
      <c r="B17" s="32" t="s">
        <v>10</v>
      </c>
      <c r="C17" s="9">
        <f>-SUM(C9:C16)*'Fane 5. Individuelt eff. krav'!G10</f>
        <v>-142459.17990397476</v>
      </c>
      <c r="D17" s="8" t="s">
        <v>3</v>
      </c>
      <c r="E17" s="1"/>
    </row>
    <row r="18" spans="1:5" ht="17.100000000000001" customHeight="1" x14ac:dyDescent="0.45">
      <c r="A18" s="1"/>
      <c r="B18" s="32" t="s">
        <v>38</v>
      </c>
      <c r="C18" s="9">
        <f>-'Fane 4.1. Gen. krav - drift'!G26</f>
        <v>-128511.162749479</v>
      </c>
      <c r="D18" s="8" t="s">
        <v>3</v>
      </c>
      <c r="E18" s="1"/>
    </row>
    <row r="19" spans="1:5" ht="17.100000000000001" customHeight="1" x14ac:dyDescent="0.45">
      <c r="A19" s="1"/>
      <c r="B19" s="32" t="s">
        <v>39</v>
      </c>
      <c r="C19" s="9">
        <f>-'Fane 4.2. Gen. krav - anlæg'!G25</f>
        <v>-45438.056935923327</v>
      </c>
      <c r="D19" s="8" t="s">
        <v>3</v>
      </c>
      <c r="E19" s="1"/>
    </row>
    <row r="20" spans="1:5" ht="17.100000000000001" customHeight="1" x14ac:dyDescent="0.45">
      <c r="A20" s="1"/>
      <c r="B20" s="50" t="s">
        <v>28</v>
      </c>
      <c r="C20" s="10">
        <f>SUM(C9:C19)</f>
        <v>10928533.986929907</v>
      </c>
      <c r="D20" s="11" t="s">
        <v>3</v>
      </c>
      <c r="E20" s="1"/>
    </row>
    <row r="21" spans="1:5" ht="15" customHeight="1" x14ac:dyDescent="0.45">
      <c r="A21" s="1"/>
      <c r="B21" s="39" t="s">
        <v>17</v>
      </c>
      <c r="C21" s="40"/>
      <c r="D21" s="22"/>
      <c r="E21" s="1"/>
    </row>
    <row r="22" spans="1:5" ht="15" customHeight="1" x14ac:dyDescent="0.45">
      <c r="A22" s="1"/>
      <c r="B22" s="41" t="s">
        <v>17</v>
      </c>
      <c r="C22" s="10">
        <f>'Fane 6. Ikke-påvirkelige omk.'!C16</f>
        <v>7477427.6757017644</v>
      </c>
      <c r="D22" s="11" t="s">
        <v>3</v>
      </c>
      <c r="E22" s="1"/>
    </row>
    <row r="23" spans="1:5" ht="15" customHeight="1" x14ac:dyDescent="0.45">
      <c r="A23" s="1"/>
      <c r="B23" s="39" t="s">
        <v>142</v>
      </c>
      <c r="C23" s="40"/>
      <c r="D23" s="22"/>
      <c r="E23" s="1"/>
    </row>
    <row r="24" spans="1:5" ht="15" customHeight="1" x14ac:dyDescent="0.45">
      <c r="A24" s="1"/>
      <c r="B24" s="32" t="s">
        <v>138</v>
      </c>
      <c r="C24" s="9">
        <f>'Fane 10.2. Engangstillæg'!C14</f>
        <v>0</v>
      </c>
      <c r="D24" s="8" t="s">
        <v>3</v>
      </c>
      <c r="E24" s="1"/>
    </row>
    <row r="25" spans="1:5" ht="15" customHeight="1" x14ac:dyDescent="0.45">
      <c r="A25" s="1"/>
      <c r="B25" s="32" t="s">
        <v>139</v>
      </c>
      <c r="C25" s="9">
        <f>'Fane 10.2. Engangstillæg'!E14</f>
        <v>0</v>
      </c>
      <c r="D25" s="8" t="s">
        <v>3</v>
      </c>
      <c r="E25" s="1"/>
    </row>
    <row r="26" spans="1:5" x14ac:dyDescent="0.45">
      <c r="A26" s="1"/>
      <c r="B26" s="50" t="s">
        <v>143</v>
      </c>
      <c r="C26" s="10">
        <f>SUM(C24:C25)</f>
        <v>0</v>
      </c>
      <c r="D26" s="11" t="s">
        <v>3</v>
      </c>
      <c r="E26" s="1"/>
    </row>
    <row r="27" spans="1:5" x14ac:dyDescent="0.45">
      <c r="A27" s="1"/>
      <c r="B27" s="39" t="s">
        <v>11</v>
      </c>
      <c r="C27" s="40"/>
      <c r="D27" s="22"/>
      <c r="E27" s="1"/>
    </row>
    <row r="28" spans="1:5" ht="15" customHeight="1" x14ac:dyDescent="0.45">
      <c r="A28" s="1"/>
      <c r="B28" s="41" t="s">
        <v>19</v>
      </c>
      <c r="C28" s="10">
        <f>'Fane 13. Hist. over-underdæk.'!G14</f>
        <v>0</v>
      </c>
      <c r="D28" s="11" t="s">
        <v>3</v>
      </c>
      <c r="E28" s="1"/>
    </row>
    <row r="29" spans="1:5" ht="15" customHeight="1" x14ac:dyDescent="0.45">
      <c r="A29" s="1"/>
      <c r="B29" s="39" t="s">
        <v>53</v>
      </c>
      <c r="C29" s="40"/>
      <c r="D29" s="22"/>
      <c r="E29" s="1"/>
    </row>
    <row r="30" spans="1:5" x14ac:dyDescent="0.45">
      <c r="A30" s="1"/>
      <c r="B30" s="41" t="s">
        <v>218</v>
      </c>
      <c r="C30" s="10">
        <f>'Fane 7. Kontrol af ØR2018'!E32</f>
        <v>0</v>
      </c>
      <c r="D30" s="11" t="s">
        <v>3</v>
      </c>
      <c r="E30" s="1"/>
    </row>
    <row r="31" spans="1:5" x14ac:dyDescent="0.45">
      <c r="A31" s="1"/>
      <c r="B31" s="39" t="s">
        <v>225</v>
      </c>
      <c r="C31" s="40"/>
      <c r="D31" s="22"/>
      <c r="E31" s="1"/>
    </row>
    <row r="32" spans="1:5" x14ac:dyDescent="0.45">
      <c r="A32" s="1"/>
      <c r="B32" s="41" t="s">
        <v>226</v>
      </c>
      <c r="C32" s="10">
        <f>'Fane 8. Korrektioner'!E10</f>
        <v>0</v>
      </c>
      <c r="D32" s="11" t="s">
        <v>3</v>
      </c>
      <c r="E32" s="1"/>
    </row>
    <row r="33" spans="1:5" x14ac:dyDescent="0.45">
      <c r="A33" s="1"/>
      <c r="B33" s="39" t="s">
        <v>35</v>
      </c>
      <c r="C33" s="33">
        <f>SUM(C20,C22,C26,C28,C30,C32)</f>
        <v>18405961.662631672</v>
      </c>
      <c r="D33" s="22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beXmSLhqutL+T+yehF1nPrUW9I0ABPyRVHS8k7O6uPT2ZBXx/ZXUxrMK4OcFJ2ie8itzpW2kqTP6G/K7JN2RrQ==" saltValue="F0jwpTdV42m6Dbiu41eNq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85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9" t="s">
        <v>20</v>
      </c>
      <c r="C8" s="40"/>
      <c r="D8" s="22"/>
      <c r="E8" s="1"/>
    </row>
    <row r="9" spans="1:5" ht="15" customHeight="1" x14ac:dyDescent="0.45">
      <c r="A9" s="1"/>
      <c r="B9" s="44" t="s">
        <v>36</v>
      </c>
      <c r="C9" s="7">
        <f>'Fane 2.1. Økonomisk ramme 2020'!C20</f>
        <v>10928533.986929907</v>
      </c>
      <c r="D9" s="8" t="s">
        <v>3</v>
      </c>
      <c r="E9" s="1"/>
    </row>
    <row r="10" spans="1:5" ht="15" customHeight="1" x14ac:dyDescent="0.45">
      <c r="A10" s="1"/>
      <c r="B10" s="32" t="s">
        <v>41</v>
      </c>
      <c r="C10" s="7">
        <f>-'Fane 12. Bortfald'!C19</f>
        <v>0</v>
      </c>
      <c r="D10" s="8" t="s">
        <v>3</v>
      </c>
      <c r="E10" s="1"/>
    </row>
    <row r="11" spans="1:5" ht="15" customHeight="1" x14ac:dyDescent="0.45">
      <c r="A11" s="1"/>
      <c r="B11" s="32" t="s">
        <v>40</v>
      </c>
      <c r="C11" s="7">
        <f>-'Fane 12. Bortfald'!E19</f>
        <v>0</v>
      </c>
      <c r="D11" s="8" t="s">
        <v>3</v>
      </c>
      <c r="E11" s="1"/>
    </row>
    <row r="12" spans="1:5" ht="15" customHeight="1" x14ac:dyDescent="0.45">
      <c r="A12" s="1"/>
      <c r="B12" s="38" t="s">
        <v>26</v>
      </c>
      <c r="C12" s="9">
        <f>SUM(C9:C11)*'Fane 14. Nøgletal'!C12</f>
        <v>215292.11954251915</v>
      </c>
      <c r="D12" s="8" t="s">
        <v>3</v>
      </c>
      <c r="E12" s="1"/>
    </row>
    <row r="13" spans="1:5" ht="15" customHeight="1" x14ac:dyDescent="0.45">
      <c r="A13" s="1"/>
      <c r="B13" s="38" t="s">
        <v>10</v>
      </c>
      <c r="C13" s="9">
        <f>-SUM(C9:C12)*'Fane 5. Individuelt eff. krav'!G10</f>
        <v>-141178.16468528542</v>
      </c>
      <c r="D13" s="8" t="s">
        <v>3</v>
      </c>
      <c r="E13" s="1"/>
    </row>
    <row r="14" spans="1:5" ht="15" customHeight="1" x14ac:dyDescent="0.45">
      <c r="A14" s="1"/>
      <c r="B14" s="38" t="s">
        <v>38</v>
      </c>
      <c r="C14" s="9">
        <f>-'Fane 4.1. Gen. krav - drift'!G32</f>
        <v>-128421.97600253089</v>
      </c>
      <c r="D14" s="8" t="s">
        <v>3</v>
      </c>
      <c r="E14" s="1"/>
    </row>
    <row r="15" spans="1:5" ht="15" customHeight="1" x14ac:dyDescent="0.45">
      <c r="A15" s="1"/>
      <c r="B15" s="38" t="s">
        <v>39</v>
      </c>
      <c r="C15" s="9">
        <f>-'Fane 4.2. Gen. krav - anlæg'!G31</f>
        <v>-149932.70084084864</v>
      </c>
      <c r="D15" s="8" t="s">
        <v>3</v>
      </c>
      <c r="E15" s="1"/>
    </row>
    <row r="16" spans="1:5" ht="15" customHeight="1" x14ac:dyDescent="0.45">
      <c r="A16" s="1"/>
      <c r="B16" s="45" t="s">
        <v>28</v>
      </c>
      <c r="C16" s="10">
        <f>SUM(C9:C15)</f>
        <v>10724293.26494376</v>
      </c>
      <c r="D16" s="11" t="s">
        <v>3</v>
      </c>
      <c r="E16" s="1"/>
    </row>
    <row r="17" spans="1:5" x14ac:dyDescent="0.45">
      <c r="A17" s="1"/>
      <c r="B17" s="39" t="s">
        <v>17</v>
      </c>
      <c r="C17" s="40"/>
      <c r="D17" s="22"/>
      <c r="E17" s="1"/>
    </row>
    <row r="18" spans="1:5" ht="15" customHeight="1" x14ac:dyDescent="0.45">
      <c r="A18" s="1"/>
      <c r="B18" s="41" t="s">
        <v>17</v>
      </c>
      <c r="C18" s="10">
        <f>'Fane 6. Ikke-påvirkelige omk.'!C16*(1+'Fane 14. Nøgletal'!C12)</f>
        <v>7624733.0009130891</v>
      </c>
      <c r="D18" s="11" t="s">
        <v>3</v>
      </c>
      <c r="E18" s="1"/>
    </row>
    <row r="19" spans="1:5" ht="15" customHeight="1" x14ac:dyDescent="0.45">
      <c r="A19" s="1"/>
      <c r="B19" s="39" t="s">
        <v>142</v>
      </c>
      <c r="C19" s="40"/>
      <c r="D19" s="22"/>
      <c r="E19" s="1"/>
    </row>
    <row r="20" spans="1:5" ht="15" customHeight="1" x14ac:dyDescent="0.45">
      <c r="A20" s="1"/>
      <c r="B20" s="32" t="s">
        <v>138</v>
      </c>
      <c r="C20" s="9">
        <f>'Fane 10.2. Engangstillæg'!C22</f>
        <v>0</v>
      </c>
      <c r="D20" s="8" t="s">
        <v>3</v>
      </c>
      <c r="E20" s="1"/>
    </row>
    <row r="21" spans="1:5" ht="15" customHeight="1" x14ac:dyDescent="0.45">
      <c r="A21" s="1"/>
      <c r="B21" s="32" t="s">
        <v>139</v>
      </c>
      <c r="C21" s="9">
        <f>'Fane 10.2. Engangstillæg'!E22</f>
        <v>0</v>
      </c>
      <c r="D21" s="8" t="s">
        <v>3</v>
      </c>
      <c r="E21" s="1"/>
    </row>
    <row r="22" spans="1:5" ht="15" customHeight="1" x14ac:dyDescent="0.45">
      <c r="A22" s="1"/>
      <c r="B22" s="50" t="s">
        <v>143</v>
      </c>
      <c r="C22" s="10">
        <f>SUM(C20:C21)</f>
        <v>0</v>
      </c>
      <c r="D22" s="11" t="s">
        <v>3</v>
      </c>
      <c r="E22" s="1"/>
    </row>
    <row r="23" spans="1:5" x14ac:dyDescent="0.45">
      <c r="A23" s="1"/>
      <c r="B23" s="39" t="s">
        <v>160</v>
      </c>
      <c r="C23" s="40"/>
      <c r="D23" s="22"/>
      <c r="E23" s="1"/>
    </row>
    <row r="24" spans="1:5" ht="15" customHeight="1" x14ac:dyDescent="0.45">
      <c r="A24" s="1"/>
      <c r="B24" s="41" t="s">
        <v>195</v>
      </c>
      <c r="C24" s="10">
        <f>'Fane 7. Kontrol af ØR2018'!E39</f>
        <v>0</v>
      </c>
      <c r="D24" s="11" t="s">
        <v>3</v>
      </c>
      <c r="E24" s="1"/>
    </row>
    <row r="25" spans="1:5" x14ac:dyDescent="0.45">
      <c r="A25" s="1"/>
      <c r="B25" s="39" t="s">
        <v>44</v>
      </c>
      <c r="C25" s="12">
        <f>SUM(C16,C18,C22,C24)</f>
        <v>18349026.265856847</v>
      </c>
      <c r="D25" s="13" t="s">
        <v>3</v>
      </c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OVpW9nl84/RKQx2VT7gkfeFYlua+tAzNDmOeMPbCAiX/PTTwX1V6fGO0D3pVoi8lm/o1LfuusjgyaN6gGctPA==" saltValue="JUv99XuF4ToDQS8tnbBqR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193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36</v>
      </c>
      <c r="C8" s="7">
        <f>'Fane 2.2. Økonomisk ramme 2021'!C16</f>
        <v>10724293.26494376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Bortfald'!C26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Bortfald'!E26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SUM(C8:C10)*'Fane 14. Nøgletal'!C12</f>
        <v>211268.57731939206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-138539.72019506499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drift'!G38</f>
        <v>-128332.85115118512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anlæg'!G37</f>
        <v>-148544.40199606682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10520144.868920837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Nøgletal'!C12)^2</f>
        <v>7774940.2410310777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Engangstillæg'!C30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Engangstillæg'!E30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ht="15" customHeight="1" x14ac:dyDescent="0.45">
      <c r="A22" s="1"/>
      <c r="B22" s="39" t="s">
        <v>160</v>
      </c>
      <c r="C22" s="40"/>
      <c r="D22" s="22"/>
      <c r="E22" s="1"/>
    </row>
    <row r="23" spans="1:5" ht="15" customHeight="1" x14ac:dyDescent="0.45">
      <c r="A23" s="1"/>
      <c r="B23" s="41" t="s">
        <v>195</v>
      </c>
      <c r="C23" s="10">
        <f>'Fane 2.2. Økonomisk ramme 2021'!C24</f>
        <v>0</v>
      </c>
      <c r="D23" s="11" t="s">
        <v>3</v>
      </c>
      <c r="E23" s="1"/>
    </row>
    <row r="24" spans="1:5" x14ac:dyDescent="0.45">
      <c r="A24" s="1"/>
      <c r="B24" s="39" t="s">
        <v>45</v>
      </c>
      <c r="C24" s="12">
        <f>SUM(C15,C17,C21,C23)</f>
        <v>18295085.109951913</v>
      </c>
      <c r="D24" s="13" t="s">
        <v>3</v>
      </c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AwaCWK/WliTTHuzTMdseDoWawl/IVTzt/HGUy/MKUjv88Sp59Fb/OhvqWvxV+TBjedBtoMVcOq5dTYfTdUox4A==" saltValue="x2z/rWfpbYkUFwTrrxg3l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72" t="s">
        <v>194</v>
      </c>
      <c r="C3" s="72"/>
      <c r="D3" s="72"/>
      <c r="E3" s="1"/>
    </row>
    <row r="4" spans="1:5" ht="15" customHeight="1" x14ac:dyDescent="0.45">
      <c r="A4" s="1"/>
      <c r="B4" s="72"/>
      <c r="C4" s="72"/>
      <c r="D4" s="72"/>
      <c r="E4" s="1"/>
    </row>
    <row r="5" spans="1:5" x14ac:dyDescent="0.45">
      <c r="A5" s="1"/>
      <c r="B5" s="73" t="s">
        <v>29</v>
      </c>
      <c r="C5" s="73"/>
      <c r="D5" s="73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39" t="s">
        <v>20</v>
      </c>
      <c r="C7" s="40"/>
      <c r="D7" s="22"/>
      <c r="E7" s="1"/>
    </row>
    <row r="8" spans="1:5" ht="15" customHeight="1" x14ac:dyDescent="0.45">
      <c r="A8" s="1"/>
      <c r="B8" s="44" t="s">
        <v>37</v>
      </c>
      <c r="C8" s="7">
        <f>'Fane 2.3. Økonomisk ramme 2022'!C15</f>
        <v>10520144.868920837</v>
      </c>
      <c r="D8" s="8" t="s">
        <v>3</v>
      </c>
      <c r="E8" s="1"/>
    </row>
    <row r="9" spans="1:5" ht="15" customHeight="1" x14ac:dyDescent="0.45">
      <c r="A9" s="1"/>
      <c r="B9" s="44" t="s">
        <v>41</v>
      </c>
      <c r="C9" s="7">
        <f>-'Fane 12. Bortfald'!C33</f>
        <v>0</v>
      </c>
      <c r="D9" s="8" t="s">
        <v>3</v>
      </c>
      <c r="E9" s="1"/>
    </row>
    <row r="10" spans="1:5" ht="15" customHeight="1" x14ac:dyDescent="0.45">
      <c r="A10" s="1"/>
      <c r="B10" s="44" t="s">
        <v>40</v>
      </c>
      <c r="C10" s="7">
        <f>-'Fane 12. Bortfald'!E33</f>
        <v>0</v>
      </c>
      <c r="D10" s="8" t="s">
        <v>3</v>
      </c>
      <c r="E10" s="1"/>
    </row>
    <row r="11" spans="1:5" ht="15" customHeight="1" x14ac:dyDescent="0.45">
      <c r="A11" s="1"/>
      <c r="B11" s="38" t="s">
        <v>26</v>
      </c>
      <c r="C11" s="9">
        <f>C8*'Fane 14. Nøgletal'!C12</f>
        <v>207246.85391774046</v>
      </c>
      <c r="D11" s="8" t="s">
        <v>3</v>
      </c>
      <c r="E11" s="1"/>
    </row>
    <row r="12" spans="1:5" ht="15" customHeight="1" x14ac:dyDescent="0.45">
      <c r="A12" s="1"/>
      <c r="B12" s="38" t="s">
        <v>10</v>
      </c>
      <c r="C12" s="9">
        <f>-SUM(C8:C11)*'Fane 5. Individuelt eff. krav'!G10</f>
        <v>-135902.46840004562</v>
      </c>
      <c r="D12" s="8" t="s">
        <v>3</v>
      </c>
      <c r="E12" s="1"/>
    </row>
    <row r="13" spans="1:5" ht="15" customHeight="1" x14ac:dyDescent="0.45">
      <c r="A13" s="1"/>
      <c r="B13" s="38" t="s">
        <v>38</v>
      </c>
      <c r="C13" s="9">
        <f>-'Fane 4.1. Gen. krav - drift'!G44</f>
        <v>-128243.78815248622</v>
      </c>
      <c r="D13" s="8" t="s">
        <v>3</v>
      </c>
      <c r="E13" s="1"/>
    </row>
    <row r="14" spans="1:5" ht="15" customHeight="1" x14ac:dyDescent="0.45">
      <c r="A14" s="1"/>
      <c r="B14" s="38" t="s">
        <v>39</v>
      </c>
      <c r="C14" s="9">
        <f>-'Fane 4.2. Gen. krav - anlæg'!G43</f>
        <v>-147168.95807667231</v>
      </c>
      <c r="D14" s="8" t="s">
        <v>3</v>
      </c>
      <c r="E14" s="1"/>
    </row>
    <row r="15" spans="1:5" x14ac:dyDescent="0.45">
      <c r="A15" s="1"/>
      <c r="B15" s="45" t="s">
        <v>28</v>
      </c>
      <c r="C15" s="10">
        <f>SUM(C8:C14)</f>
        <v>10316076.508209372</v>
      </c>
      <c r="D15" s="11" t="s">
        <v>3</v>
      </c>
      <c r="E15" s="1"/>
    </row>
    <row r="16" spans="1:5" x14ac:dyDescent="0.45">
      <c r="A16" s="1"/>
      <c r="B16" s="39" t="s">
        <v>17</v>
      </c>
      <c r="C16" s="40"/>
      <c r="D16" s="22"/>
      <c r="E16" s="1"/>
    </row>
    <row r="17" spans="1:5" ht="15" customHeight="1" x14ac:dyDescent="0.45">
      <c r="A17" s="1"/>
      <c r="B17" s="41" t="s">
        <v>17</v>
      </c>
      <c r="C17" s="10">
        <f>'Fane 6. Ikke-påvirkelige omk.'!C16*(1+'Fane 14. Nøgletal'!C12)^3</f>
        <v>7928106.5637793895</v>
      </c>
      <c r="D17" s="11" t="s">
        <v>3</v>
      </c>
      <c r="E17" s="1"/>
    </row>
    <row r="18" spans="1:5" ht="15" customHeight="1" x14ac:dyDescent="0.45">
      <c r="A18" s="1"/>
      <c r="B18" s="39" t="s">
        <v>142</v>
      </c>
      <c r="C18" s="40"/>
      <c r="D18" s="22"/>
      <c r="E18" s="1"/>
    </row>
    <row r="19" spans="1:5" ht="15" customHeight="1" x14ac:dyDescent="0.45">
      <c r="A19" s="1"/>
      <c r="B19" s="32" t="s">
        <v>138</v>
      </c>
      <c r="C19" s="9">
        <f>'Fane 10.2. Engangstillæg'!C38</f>
        <v>0</v>
      </c>
      <c r="D19" s="8" t="s">
        <v>3</v>
      </c>
      <c r="E19" s="1"/>
    </row>
    <row r="20" spans="1:5" ht="15" customHeight="1" x14ac:dyDescent="0.45">
      <c r="A20" s="1"/>
      <c r="B20" s="32" t="s">
        <v>139</v>
      </c>
      <c r="C20" s="9">
        <f>'Fane 10.2. Engangstillæg'!E38</f>
        <v>0</v>
      </c>
      <c r="D20" s="8" t="s">
        <v>3</v>
      </c>
      <c r="E20" s="1"/>
    </row>
    <row r="21" spans="1:5" ht="15" customHeight="1" x14ac:dyDescent="0.45">
      <c r="A21" s="1"/>
      <c r="B21" s="50" t="s">
        <v>143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9" t="s">
        <v>154</v>
      </c>
      <c r="C22" s="12">
        <f>SUM(C15,C17,C21)</f>
        <v>18244183.071988761</v>
      </c>
      <c r="D22" s="13" t="s">
        <v>3</v>
      </c>
      <c r="E22" s="1"/>
    </row>
    <row r="23" spans="1:5" x14ac:dyDescent="0.45">
      <c r="A23" s="1"/>
      <c r="B23" s="1"/>
      <c r="C23" s="1"/>
      <c r="D23" s="1"/>
      <c r="E23" s="1"/>
    </row>
    <row r="24" spans="1:5" x14ac:dyDescent="0.45">
      <c r="A24" s="1"/>
      <c r="B24" s="1"/>
      <c r="C24" s="1"/>
      <c r="D24" s="1"/>
      <c r="E24" s="1"/>
    </row>
    <row r="25" spans="1:5" x14ac:dyDescent="0.45">
      <c r="A25" s="1"/>
      <c r="B25" s="1"/>
      <c r="C25" s="1"/>
      <c r="D25" s="1"/>
      <c r="E25" s="1"/>
    </row>
    <row r="26" spans="1:5" x14ac:dyDescent="0.45">
      <c r="A26" s="1"/>
      <c r="B26" s="1"/>
      <c r="C26" s="1"/>
      <c r="D26" s="1"/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</sheetData>
  <sheetProtection algorithmName="SHA-512" hashValue="hkwwFM6umf0echhIpg4mGpiEilW2PKYUVhYKk4jJ5RmXjnsXz+Z9xWGcwFdGJwo+0tR7tDvdm+xHSRfcK+iw3w==" saltValue="tCWr5bqJJCGad1+D7r5s8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9" t="s">
        <v>221</v>
      </c>
      <c r="C3" s="89"/>
      <c r="D3" s="89"/>
      <c r="E3" s="89"/>
      <c r="F3" s="89"/>
      <c r="G3" s="1"/>
    </row>
    <row r="4" spans="1:7" ht="29.25" customHeight="1" x14ac:dyDescent="0.45">
      <c r="A4" s="1"/>
      <c r="B4" s="89"/>
      <c r="C4" s="89"/>
      <c r="D4" s="89"/>
      <c r="E4" s="89"/>
      <c r="F4" s="89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9" t="s">
        <v>84</v>
      </c>
      <c r="C8" s="40"/>
      <c r="D8" s="40"/>
      <c r="E8" s="40"/>
      <c r="F8" s="22"/>
      <c r="G8" s="1"/>
    </row>
    <row r="9" spans="1:7" x14ac:dyDescent="0.45">
      <c r="A9" s="1"/>
      <c r="B9" s="90" t="s">
        <v>81</v>
      </c>
      <c r="C9" s="91"/>
      <c r="D9" s="92"/>
      <c r="E9" s="7">
        <v>10999076.524863293</v>
      </c>
      <c r="F9" s="8" t="s">
        <v>3</v>
      </c>
      <c r="G9" s="1"/>
    </row>
    <row r="10" spans="1:7" x14ac:dyDescent="0.45">
      <c r="A10" s="1"/>
      <c r="B10" s="90" t="s">
        <v>82</v>
      </c>
      <c r="C10" s="91"/>
      <c r="D10" s="92"/>
      <c r="E10" s="7">
        <v>0</v>
      </c>
      <c r="F10" s="8" t="s">
        <v>3</v>
      </c>
      <c r="G10" s="1"/>
    </row>
    <row r="11" spans="1:7" x14ac:dyDescent="0.45">
      <c r="A11" s="1"/>
      <c r="B11" s="90" t="s">
        <v>83</v>
      </c>
      <c r="C11" s="91"/>
      <c r="D11" s="92"/>
      <c r="E11" s="7">
        <v>188073.58010740919</v>
      </c>
      <c r="F11" s="8" t="s">
        <v>3</v>
      </c>
      <c r="G11" s="1"/>
    </row>
    <row r="12" spans="1:7" x14ac:dyDescent="0.45">
      <c r="A12" s="1"/>
      <c r="B12" s="77" t="s">
        <v>67</v>
      </c>
      <c r="C12" s="78"/>
      <c r="D12" s="79"/>
      <c r="E12" s="7">
        <v>0</v>
      </c>
      <c r="F12" s="8" t="s">
        <v>3</v>
      </c>
      <c r="G12" s="1"/>
    </row>
    <row r="13" spans="1:7" x14ac:dyDescent="0.45">
      <c r="A13" s="1"/>
      <c r="B13" s="77" t="s">
        <v>68</v>
      </c>
      <c r="C13" s="78"/>
      <c r="D13" s="79"/>
      <c r="E13" s="9">
        <v>0</v>
      </c>
      <c r="F13" s="8" t="s">
        <v>3</v>
      </c>
      <c r="G13" s="1"/>
    </row>
    <row r="14" spans="1:7" x14ac:dyDescent="0.45">
      <c r="A14" s="1"/>
      <c r="B14" s="77" t="s">
        <v>41</v>
      </c>
      <c r="C14" s="78"/>
      <c r="D14" s="79"/>
      <c r="E14" s="9">
        <v>0</v>
      </c>
      <c r="F14" s="8" t="s">
        <v>3</v>
      </c>
      <c r="G14" s="1"/>
    </row>
    <row r="15" spans="1:7" x14ac:dyDescent="0.45">
      <c r="A15" s="1"/>
      <c r="B15" s="77" t="s">
        <v>40</v>
      </c>
      <c r="C15" s="78"/>
      <c r="D15" s="79"/>
      <c r="E15" s="9">
        <v>0</v>
      </c>
      <c r="F15" s="8" t="s">
        <v>3</v>
      </c>
      <c r="G15" s="1"/>
    </row>
    <row r="16" spans="1:7" x14ac:dyDescent="0.45">
      <c r="A16" s="1"/>
      <c r="B16" s="77" t="s">
        <v>43</v>
      </c>
      <c r="C16" s="78"/>
      <c r="D16" s="79"/>
      <c r="E16" s="9">
        <v>0</v>
      </c>
      <c r="F16" s="8" t="s">
        <v>3</v>
      </c>
      <c r="G16" s="1"/>
    </row>
    <row r="17" spans="1:7" x14ac:dyDescent="0.45">
      <c r="A17" s="1"/>
      <c r="B17" s="77" t="s">
        <v>42</v>
      </c>
      <c r="C17" s="78"/>
      <c r="D17" s="79"/>
      <c r="E17" s="9">
        <v>0</v>
      </c>
      <c r="F17" s="8" t="s">
        <v>3</v>
      </c>
      <c r="G17" s="1"/>
    </row>
    <row r="18" spans="1:7" x14ac:dyDescent="0.45">
      <c r="A18" s="1"/>
      <c r="B18" s="77" t="s">
        <v>26</v>
      </c>
      <c r="C18" s="78"/>
      <c r="D18" s="79"/>
      <c r="E18" s="9">
        <f>SUM(E9:E17)*'Fane 14. Nøgletal'!C11</f>
        <v>189062.83677400486</v>
      </c>
      <c r="F18" s="8" t="s">
        <v>3</v>
      </c>
      <c r="G18" s="1"/>
    </row>
    <row r="19" spans="1:7" x14ac:dyDescent="0.45">
      <c r="A19" s="1"/>
      <c r="B19" s="77" t="s">
        <v>10</v>
      </c>
      <c r="C19" s="78"/>
      <c r="D19" s="79"/>
      <c r="E19" s="9">
        <f>-SUM(E9:E18)*'Fane 5. Individuelt eff. krav'!G10</f>
        <v>-144122.21160304084</v>
      </c>
      <c r="F19" s="8" t="s">
        <v>3</v>
      </c>
      <c r="G19" s="1"/>
    </row>
    <row r="20" spans="1:7" x14ac:dyDescent="0.45">
      <c r="A20" s="1"/>
      <c r="B20" s="77" t="s">
        <v>38</v>
      </c>
      <c r="C20" s="78"/>
      <c r="D20" s="79"/>
      <c r="E20" s="9">
        <f>-'Fane 4.1. Gen. krav - drift'!G20</f>
        <v>-128954.50834918352</v>
      </c>
      <c r="F20" s="8" t="s">
        <v>3</v>
      </c>
      <c r="G20" s="1"/>
    </row>
    <row r="21" spans="1:7" x14ac:dyDescent="0.45">
      <c r="A21" s="1"/>
      <c r="B21" s="77" t="s">
        <v>39</v>
      </c>
      <c r="C21" s="78"/>
      <c r="D21" s="79"/>
      <c r="E21" s="9">
        <f>-'Fane 4.2. Gen. krav - anlæg'!G19</f>
        <v>-45075.068759455498</v>
      </c>
      <c r="F21" s="8" t="s">
        <v>3</v>
      </c>
      <c r="G21" s="1"/>
    </row>
    <row r="22" spans="1:7" x14ac:dyDescent="0.45">
      <c r="A22" s="1"/>
      <c r="B22" s="80" t="s">
        <v>28</v>
      </c>
      <c r="C22" s="81"/>
      <c r="D22" s="82"/>
      <c r="E22" s="10">
        <f>SUM(E9:E21)</f>
        <v>11058061.153033026</v>
      </c>
      <c r="F22" s="11" t="s">
        <v>3</v>
      </c>
      <c r="G22" s="1"/>
    </row>
    <row r="23" spans="1:7" x14ac:dyDescent="0.45">
      <c r="A23" s="1"/>
      <c r="B23" s="93" t="s">
        <v>17</v>
      </c>
      <c r="C23" s="94"/>
      <c r="D23" s="94"/>
      <c r="E23" s="40"/>
      <c r="F23" s="22"/>
      <c r="G23" s="1"/>
    </row>
    <row r="24" spans="1:7" x14ac:dyDescent="0.45">
      <c r="A24" s="1"/>
      <c r="B24" s="83" t="s">
        <v>17</v>
      </c>
      <c r="C24" s="84"/>
      <c r="D24" s="85"/>
      <c r="E24" s="10">
        <v>6306475.5352316089</v>
      </c>
      <c r="F24" s="11" t="s">
        <v>3</v>
      </c>
      <c r="G24" s="1"/>
    </row>
    <row r="25" spans="1:7" x14ac:dyDescent="0.45">
      <c r="A25" s="1"/>
      <c r="B25" s="39" t="s">
        <v>130</v>
      </c>
      <c r="C25" s="40"/>
      <c r="D25" s="40"/>
      <c r="E25" s="40"/>
      <c r="F25" s="22"/>
      <c r="G25" s="1"/>
    </row>
    <row r="26" spans="1:7" ht="27" customHeight="1" x14ac:dyDescent="0.45">
      <c r="A26" s="1"/>
      <c r="B26" s="86" t="s">
        <v>132</v>
      </c>
      <c r="C26" s="87"/>
      <c r="D26" s="88"/>
      <c r="E26" s="10">
        <v>33080.762826496699</v>
      </c>
      <c r="F26" s="11" t="s">
        <v>3</v>
      </c>
      <c r="G26" s="1"/>
    </row>
    <row r="27" spans="1:7" x14ac:dyDescent="0.45">
      <c r="A27" s="1"/>
      <c r="B27" s="39" t="s">
        <v>11</v>
      </c>
      <c r="C27" s="40"/>
      <c r="D27" s="40"/>
      <c r="E27" s="40"/>
      <c r="F27" s="22"/>
      <c r="G27" s="1"/>
    </row>
    <row r="28" spans="1:7" x14ac:dyDescent="0.45">
      <c r="A28" s="1"/>
      <c r="B28" s="83" t="s">
        <v>19</v>
      </c>
      <c r="C28" s="84"/>
      <c r="D28" s="85"/>
      <c r="E28" s="10">
        <v>0</v>
      </c>
      <c r="F28" s="11" t="s">
        <v>3</v>
      </c>
      <c r="G28" s="1"/>
    </row>
    <row r="29" spans="1:7" x14ac:dyDescent="0.45">
      <c r="A29" s="1"/>
      <c r="B29" s="39" t="s">
        <v>160</v>
      </c>
      <c r="C29" s="40"/>
      <c r="D29" s="40"/>
      <c r="E29" s="40"/>
      <c r="F29" s="22"/>
      <c r="G29" s="1"/>
    </row>
    <row r="30" spans="1:7" x14ac:dyDescent="0.45">
      <c r="A30" s="1"/>
      <c r="B30" s="83" t="s">
        <v>131</v>
      </c>
      <c r="C30" s="84"/>
      <c r="D30" s="85"/>
      <c r="E30" s="10">
        <v>0</v>
      </c>
      <c r="F30" s="11" t="s">
        <v>3</v>
      </c>
      <c r="G30" s="1"/>
    </row>
    <row r="31" spans="1:7" x14ac:dyDescent="0.45">
      <c r="A31" s="1"/>
      <c r="B31" s="39" t="s">
        <v>23</v>
      </c>
      <c r="C31" s="40"/>
      <c r="D31" s="40"/>
      <c r="E31" s="12">
        <f>SUM(E28,E26,E24,E22,E30)</f>
        <v>17397617.451091133</v>
      </c>
      <c r="F31" s="13" t="s">
        <v>3</v>
      </c>
      <c r="G31" s="1"/>
    </row>
    <row r="32" spans="1:7" ht="28.15" customHeight="1" x14ac:dyDescent="0.45">
      <c r="A32" s="1"/>
      <c r="B32" s="74" t="s">
        <v>189</v>
      </c>
      <c r="C32" s="75"/>
      <c r="D32" s="75"/>
      <c r="E32" s="75"/>
      <c r="F32" s="76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wmv5BsMKBkJ3ucv3AIHrtalrMtMq7UPjlbQ7SbFBdV2O7smRUl1zKh9wjPwNC9uC67esFC0cI8o7e1fnDpyM1A==" saltValue="FuPHQOhG3dZ1E7jwC7Cp1A==" spinCount="100000" sheet="1" objects="1" scenarios="1"/>
  <mergeCells count="21">
    <mergeCell ref="B15:D15"/>
    <mergeCell ref="B16:D16"/>
    <mergeCell ref="B17:D17"/>
    <mergeCell ref="B23:D23"/>
    <mergeCell ref="B24:D24"/>
    <mergeCell ref="B3:F4"/>
    <mergeCell ref="B9:D9"/>
    <mergeCell ref="B12:D12"/>
    <mergeCell ref="B13:D13"/>
    <mergeCell ref="B14:D14"/>
    <mergeCell ref="B10:D10"/>
    <mergeCell ref="B11:D11"/>
    <mergeCell ref="B32:F32"/>
    <mergeCell ref="B18:D18"/>
    <mergeCell ref="B19:D19"/>
    <mergeCell ref="B20:D20"/>
    <mergeCell ref="B21:D21"/>
    <mergeCell ref="B22:D22"/>
    <mergeCell ref="B30:D30"/>
    <mergeCell ref="B26:D26"/>
    <mergeCell ref="B28:D2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5" customHeight="1" x14ac:dyDescent="0.45">
      <c r="A2" s="1"/>
      <c r="B2" s="72" t="s">
        <v>202</v>
      </c>
      <c r="C2" s="72"/>
      <c r="D2" s="72"/>
      <c r="E2" s="72"/>
      <c r="F2" s="72"/>
      <c r="G2" s="72"/>
      <c r="H2" s="72"/>
      <c r="I2" s="1"/>
    </row>
    <row r="3" spans="1:9" ht="15" customHeight="1" x14ac:dyDescent="0.45">
      <c r="A3" s="1"/>
      <c r="B3" s="72"/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95" t="s">
        <v>97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98" t="s">
        <v>86</v>
      </c>
      <c r="C6" s="99"/>
      <c r="D6" s="99"/>
      <c r="E6" s="99"/>
      <c r="F6" s="100"/>
      <c r="G6" s="26">
        <v>6519215.3240284035</v>
      </c>
      <c r="H6" s="14" t="s">
        <v>3</v>
      </c>
      <c r="I6" s="1"/>
    </row>
    <row r="7" spans="1:9" x14ac:dyDescent="0.45">
      <c r="A7" s="1"/>
      <c r="B7" s="98" t="s">
        <v>87</v>
      </c>
      <c r="C7" s="99"/>
      <c r="D7" s="99"/>
      <c r="E7" s="99"/>
      <c r="F7" s="100"/>
      <c r="G7" s="26">
        <f>G6*'Fane 14. Nøgletal'!C25</f>
        <v>130384.30648056808</v>
      </c>
      <c r="H7" s="14" t="s">
        <v>3</v>
      </c>
      <c r="I7" s="1"/>
    </row>
    <row r="8" spans="1:9" x14ac:dyDescent="0.45">
      <c r="A8" s="1"/>
      <c r="B8" s="39"/>
      <c r="C8" s="40"/>
      <c r="D8" s="40"/>
      <c r="E8" s="40"/>
      <c r="F8" s="40"/>
      <c r="G8" s="40"/>
      <c r="H8" s="22"/>
      <c r="I8" s="1"/>
    </row>
    <row r="9" spans="1:9" x14ac:dyDescent="0.45">
      <c r="A9" s="1"/>
      <c r="B9" s="1"/>
      <c r="C9" s="1"/>
      <c r="D9" s="1"/>
      <c r="E9" s="1"/>
      <c r="F9" s="1"/>
      <c r="G9" s="1"/>
      <c r="H9" s="1"/>
      <c r="I9" s="1"/>
    </row>
    <row r="10" spans="1:9" x14ac:dyDescent="0.45">
      <c r="A10" s="1"/>
      <c r="B10" s="95" t="s">
        <v>98</v>
      </c>
      <c r="C10" s="96"/>
      <c r="D10" s="96"/>
      <c r="E10" s="96"/>
      <c r="F10" s="96"/>
      <c r="G10" s="96"/>
      <c r="H10" s="97"/>
      <c r="I10" s="1"/>
    </row>
    <row r="11" spans="1:9" x14ac:dyDescent="0.45">
      <c r="A11" s="1"/>
      <c r="B11" s="98" t="s">
        <v>88</v>
      </c>
      <c r="C11" s="99"/>
      <c r="D11" s="99"/>
      <c r="E11" s="99"/>
      <c r="F11" s="100"/>
      <c r="G11" s="26">
        <f>(G6-G7)*(1+'Fane 14. Nøgletal'!C9)</f>
        <v>6469969.1714706924</v>
      </c>
      <c r="H11" s="14" t="s">
        <v>3</v>
      </c>
      <c r="I11" s="1"/>
    </row>
    <row r="12" spans="1:9" x14ac:dyDescent="0.45">
      <c r="A12" s="1"/>
      <c r="B12" s="101" t="s">
        <v>89</v>
      </c>
      <c r="C12" s="102"/>
      <c r="D12" s="102"/>
      <c r="E12" s="102"/>
      <c r="F12" s="103"/>
      <c r="G12" s="26">
        <v>0</v>
      </c>
      <c r="H12" s="14" t="s">
        <v>3</v>
      </c>
      <c r="I12" s="1"/>
    </row>
    <row r="13" spans="1:9" x14ac:dyDescent="0.45">
      <c r="A13" s="1"/>
      <c r="B13" s="98" t="s">
        <v>90</v>
      </c>
      <c r="C13" s="99"/>
      <c r="D13" s="99"/>
      <c r="E13" s="99"/>
      <c r="F13" s="100"/>
      <c r="G13" s="26">
        <f>(G11+G12)*'Fane 14. Nøgletal'!C25</f>
        <v>129399.38342941385</v>
      </c>
      <c r="H13" s="14" t="s">
        <v>3</v>
      </c>
      <c r="I13" s="1"/>
    </row>
    <row r="14" spans="1:9" x14ac:dyDescent="0.45">
      <c r="A14" s="1"/>
      <c r="B14" s="39"/>
      <c r="C14" s="40"/>
      <c r="D14" s="40"/>
      <c r="E14" s="40"/>
      <c r="F14" s="40"/>
      <c r="G14" s="40"/>
      <c r="H14" s="22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99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98" t="s">
        <v>91</v>
      </c>
      <c r="C17" s="99"/>
      <c r="D17" s="99"/>
      <c r="E17" s="99"/>
      <c r="F17" s="100"/>
      <c r="G17" s="26">
        <f>(G13/'Fane 14. Nøgletal'!C25-G13)*(1+'Fane 14. Nøgletal'!C11)</f>
        <v>6447725.4174591759</v>
      </c>
      <c r="H17" s="14" t="s">
        <v>3</v>
      </c>
      <c r="I17" s="1"/>
    </row>
    <row r="18" spans="1:9" x14ac:dyDescent="0.45">
      <c r="A18" s="1"/>
      <c r="B18" s="98" t="s">
        <v>222</v>
      </c>
      <c r="C18" s="99"/>
      <c r="D18" s="99"/>
      <c r="E18" s="99"/>
      <c r="F18" s="100"/>
      <c r="G18" s="26">
        <v>0</v>
      </c>
      <c r="H18" s="14" t="s">
        <v>3</v>
      </c>
      <c r="I18" s="1"/>
    </row>
    <row r="19" spans="1:9" x14ac:dyDescent="0.45">
      <c r="A19" s="1"/>
      <c r="B19" s="101" t="s">
        <v>92</v>
      </c>
      <c r="C19" s="102"/>
      <c r="D19" s="102"/>
      <c r="E19" s="102"/>
      <c r="F19" s="103"/>
      <c r="G19" s="26">
        <v>0</v>
      </c>
      <c r="H19" s="14" t="s">
        <v>3</v>
      </c>
      <c r="I19" s="1"/>
    </row>
    <row r="20" spans="1:9" x14ac:dyDescent="0.45">
      <c r="A20" s="1"/>
      <c r="B20" s="98" t="s">
        <v>93</v>
      </c>
      <c r="C20" s="99"/>
      <c r="D20" s="99"/>
      <c r="E20" s="99"/>
      <c r="F20" s="100"/>
      <c r="G20" s="26">
        <f>SUM(G17:G19)*'Fane 14. Nøgletal'!C25</f>
        <v>128954.50834918352</v>
      </c>
      <c r="H20" s="14" t="s">
        <v>3</v>
      </c>
      <c r="I20" s="1"/>
    </row>
    <row r="21" spans="1:9" x14ac:dyDescent="0.45">
      <c r="A21" s="1"/>
      <c r="B21" s="39"/>
      <c r="C21" s="40"/>
      <c r="D21" s="40"/>
      <c r="E21" s="40"/>
      <c r="F21" s="40"/>
      <c r="G21" s="40"/>
      <c r="H21" s="22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95" t="s">
        <v>100</v>
      </c>
      <c r="C23" s="96"/>
      <c r="D23" s="96"/>
      <c r="E23" s="96"/>
      <c r="F23" s="96"/>
      <c r="G23" s="96"/>
      <c r="H23" s="97"/>
      <c r="I23" s="1"/>
    </row>
    <row r="24" spans="1:9" x14ac:dyDescent="0.45">
      <c r="A24" s="1"/>
      <c r="B24" s="98" t="s">
        <v>94</v>
      </c>
      <c r="C24" s="99"/>
      <c r="D24" s="99"/>
      <c r="E24" s="99"/>
      <c r="F24" s="100"/>
      <c r="G24" s="26">
        <f>(SUM(G17:G19)-G20)*(1+'Fane 14. Nøgletal'!C11)</f>
        <v>6425558.1374739502</v>
      </c>
      <c r="H24" s="14" t="s">
        <v>3</v>
      </c>
      <c r="I24" s="1"/>
    </row>
    <row r="25" spans="1:9" x14ac:dyDescent="0.45">
      <c r="A25" s="1"/>
      <c r="B25" s="101" t="s">
        <v>95</v>
      </c>
      <c r="C25" s="102"/>
      <c r="D25" s="102"/>
      <c r="E25" s="102"/>
      <c r="F25" s="103"/>
      <c r="G25" s="26">
        <f>('Fane 2.1. Økonomisk ramme 2020'!C10+'Fane 2.1. Økonomisk ramme 2020'!C12+'Fane 2.1. Økonomisk ramme 2020'!C14)*(1+'Fane 14. Nøgletal'!C12)</f>
        <v>0</v>
      </c>
      <c r="H25" s="14" t="s">
        <v>3</v>
      </c>
      <c r="I25" s="1"/>
    </row>
    <row r="26" spans="1:9" x14ac:dyDescent="0.45">
      <c r="A26" s="1"/>
      <c r="B26" s="98" t="s">
        <v>96</v>
      </c>
      <c r="C26" s="99"/>
      <c r="D26" s="99"/>
      <c r="E26" s="99"/>
      <c r="F26" s="100"/>
      <c r="G26" s="26">
        <f>(G24+G25)*'Fane 14. Nøgletal'!C25</f>
        <v>128511.162749479</v>
      </c>
      <c r="H26" s="14" t="s">
        <v>3</v>
      </c>
      <c r="I26" s="1"/>
    </row>
    <row r="27" spans="1:9" x14ac:dyDescent="0.45">
      <c r="A27" s="1"/>
      <c r="B27" s="39"/>
      <c r="C27" s="40"/>
      <c r="D27" s="40"/>
      <c r="E27" s="40"/>
      <c r="F27" s="40"/>
      <c r="G27" s="40"/>
      <c r="H27" s="22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95" t="s">
        <v>191</v>
      </c>
      <c r="C29" s="96"/>
      <c r="D29" s="96"/>
      <c r="E29" s="96"/>
      <c r="F29" s="96"/>
      <c r="G29" s="96"/>
      <c r="H29" s="97"/>
      <c r="I29" s="1"/>
    </row>
    <row r="30" spans="1:9" x14ac:dyDescent="0.45">
      <c r="A30" s="1"/>
      <c r="B30" s="98" t="s">
        <v>103</v>
      </c>
      <c r="C30" s="99"/>
      <c r="D30" s="99"/>
      <c r="E30" s="99"/>
      <c r="F30" s="100"/>
      <c r="G30" s="26">
        <f>(G24+G25-G26)*(1+'Fane 14. Nøgletal'!C12)</f>
        <v>6421098.8001265442</v>
      </c>
      <c r="H30" s="14" t="s">
        <v>3</v>
      </c>
      <c r="I30" s="1"/>
    </row>
    <row r="31" spans="1:9" x14ac:dyDescent="0.45">
      <c r="A31" s="1"/>
      <c r="B31" s="98" t="s">
        <v>145</v>
      </c>
      <c r="C31" s="99"/>
      <c r="D31" s="99"/>
      <c r="E31" s="99"/>
      <c r="F31" s="100"/>
      <c r="G31" s="26">
        <f>-'Fane 12. Bortfald'!C19*(1+'Fane 14. Nøgletal'!C12)</f>
        <v>0</v>
      </c>
      <c r="H31" s="14" t="s">
        <v>3</v>
      </c>
      <c r="I31" s="1"/>
    </row>
    <row r="32" spans="1:9" x14ac:dyDescent="0.45">
      <c r="A32" s="1"/>
      <c r="B32" s="98" t="s">
        <v>220</v>
      </c>
      <c r="C32" s="99"/>
      <c r="D32" s="99"/>
      <c r="E32" s="99"/>
      <c r="F32" s="100"/>
      <c r="G32" s="26">
        <f>(G30+G31)*'Fane 14. Nøgletal'!C25</f>
        <v>128421.97600253089</v>
      </c>
      <c r="H32" s="14" t="s">
        <v>3</v>
      </c>
      <c r="I32" s="1"/>
    </row>
    <row r="33" spans="1:9" x14ac:dyDescent="0.45">
      <c r="A33" s="1"/>
      <c r="B33" s="39"/>
      <c r="C33" s="40"/>
      <c r="D33" s="40"/>
      <c r="E33" s="40"/>
      <c r="F33" s="40"/>
      <c r="G33" s="40"/>
      <c r="H33" s="22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95" t="s">
        <v>126</v>
      </c>
      <c r="C35" s="96"/>
      <c r="D35" s="96"/>
      <c r="E35" s="96"/>
      <c r="F35" s="96"/>
      <c r="G35" s="96"/>
      <c r="H35" s="97"/>
      <c r="I35" s="1"/>
    </row>
    <row r="36" spans="1:9" x14ac:dyDescent="0.45">
      <c r="A36" s="1"/>
      <c r="B36" s="98" t="s">
        <v>125</v>
      </c>
      <c r="C36" s="99"/>
      <c r="D36" s="99"/>
      <c r="E36" s="99"/>
      <c r="F36" s="100"/>
      <c r="G36" s="26">
        <f>(G30-G32)*(1+'Fane 14. Nøgletal'!C12)</f>
        <v>6416642.5575592564</v>
      </c>
      <c r="H36" s="14" t="s">
        <v>3</v>
      </c>
      <c r="I36" s="1"/>
    </row>
    <row r="37" spans="1:9" x14ac:dyDescent="0.45">
      <c r="A37" s="1"/>
      <c r="B37" s="98" t="s">
        <v>146</v>
      </c>
      <c r="C37" s="99"/>
      <c r="D37" s="99"/>
      <c r="E37" s="99"/>
      <c r="F37" s="100"/>
      <c r="G37" s="26">
        <f>-'Fane 12. Bortfald'!C26*(1+'Fane 14. Nøgletal'!C12)</f>
        <v>0</v>
      </c>
      <c r="H37" s="14" t="s">
        <v>3</v>
      </c>
      <c r="I37" s="1"/>
    </row>
    <row r="38" spans="1:9" x14ac:dyDescent="0.45">
      <c r="A38" s="1"/>
      <c r="B38" s="98" t="s">
        <v>104</v>
      </c>
      <c r="C38" s="99"/>
      <c r="D38" s="99"/>
      <c r="E38" s="99"/>
      <c r="F38" s="100"/>
      <c r="G38" s="26">
        <f>(G36+G37)*'Fane 14. Nøgletal'!C25</f>
        <v>128332.85115118512</v>
      </c>
      <c r="H38" s="14" t="s">
        <v>3</v>
      </c>
      <c r="I38" s="1"/>
    </row>
    <row r="39" spans="1:9" x14ac:dyDescent="0.45">
      <c r="A39" s="1"/>
      <c r="B39" s="39"/>
      <c r="C39" s="40"/>
      <c r="D39" s="40"/>
      <c r="E39" s="40"/>
      <c r="F39" s="40"/>
      <c r="G39" s="40"/>
      <c r="H39" s="22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95" t="s">
        <v>127</v>
      </c>
      <c r="C41" s="96"/>
      <c r="D41" s="96"/>
      <c r="E41" s="96"/>
      <c r="F41" s="96"/>
      <c r="G41" s="96"/>
      <c r="H41" s="97"/>
      <c r="I41" s="1"/>
    </row>
    <row r="42" spans="1:9" x14ac:dyDescent="0.45">
      <c r="A42" s="1"/>
      <c r="B42" s="98" t="s">
        <v>124</v>
      </c>
      <c r="C42" s="99"/>
      <c r="D42" s="99"/>
      <c r="E42" s="99"/>
      <c r="F42" s="100"/>
      <c r="G42" s="26">
        <f>(G36-G38)*(1+'Fane 14. Nøgletal'!C12)</f>
        <v>6412189.4076243108</v>
      </c>
      <c r="H42" s="14" t="s">
        <v>3</v>
      </c>
      <c r="I42" s="1"/>
    </row>
    <row r="43" spans="1:9" x14ac:dyDescent="0.45">
      <c r="A43" s="1"/>
      <c r="B43" s="98" t="s">
        <v>147</v>
      </c>
      <c r="C43" s="99"/>
      <c r="D43" s="99"/>
      <c r="E43" s="99"/>
      <c r="F43" s="100"/>
      <c r="G43" s="26">
        <f>-'Fane 12. Bortfald'!C33*(1+'Fane 14. Nøgletal'!C12)</f>
        <v>0</v>
      </c>
      <c r="H43" s="14" t="s">
        <v>3</v>
      </c>
      <c r="I43" s="1"/>
    </row>
    <row r="44" spans="1:9" x14ac:dyDescent="0.45">
      <c r="A44" s="1"/>
      <c r="B44" s="98" t="s">
        <v>105</v>
      </c>
      <c r="C44" s="99"/>
      <c r="D44" s="99"/>
      <c r="E44" s="99"/>
      <c r="F44" s="100"/>
      <c r="G44" s="26">
        <f>(G42+G43)*'Fane 14. Nøgletal'!C25</f>
        <v>128243.78815248622</v>
      </c>
      <c r="H44" s="14" t="s">
        <v>3</v>
      </c>
      <c r="I44" s="1"/>
    </row>
    <row r="45" spans="1:9" x14ac:dyDescent="0.45">
      <c r="A45" s="1"/>
      <c r="B45" s="39"/>
      <c r="C45" s="40"/>
      <c r="D45" s="40"/>
      <c r="E45" s="40"/>
      <c r="F45" s="40"/>
      <c r="G45" s="40"/>
      <c r="H45" s="22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WbUPeKZpJ4y1DJ9LJzgXN0JLAFocYrG9cjEyE90bU+bVVzyp4eLWsv2RgolcTSHVcfzQJG366qTbonHghNDfdg==" saltValue="kFnosb7wBH5kfPOGj+6krA==" spinCount="100000" sheet="1" objects="1" scenarios="1"/>
  <mergeCells count="29">
    <mergeCell ref="B29:H29"/>
    <mergeCell ref="B30:F30"/>
    <mergeCell ref="B35:H35"/>
    <mergeCell ref="B38:F38"/>
    <mergeCell ref="B20:F20"/>
    <mergeCell ref="B24:F24"/>
    <mergeCell ref="B25:F25"/>
    <mergeCell ref="B26:F26"/>
    <mergeCell ref="B36:F36"/>
    <mergeCell ref="B31:F31"/>
    <mergeCell ref="B32:F32"/>
    <mergeCell ref="B16:H16"/>
    <mergeCell ref="B23:H23"/>
    <mergeCell ref="B12:F12"/>
    <mergeCell ref="B13:F13"/>
    <mergeCell ref="B17:F17"/>
    <mergeCell ref="B19:F19"/>
    <mergeCell ref="B18:F18"/>
    <mergeCell ref="B41:H41"/>
    <mergeCell ref="B42:F42"/>
    <mergeCell ref="B44:F44"/>
    <mergeCell ref="B37:F37"/>
    <mergeCell ref="B43:F43"/>
    <mergeCell ref="B2:H4"/>
    <mergeCell ref="B5:H5"/>
    <mergeCell ref="B6:F6"/>
    <mergeCell ref="B7:F7"/>
    <mergeCell ref="B11:F11"/>
    <mergeCell ref="B10:H1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4.265625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ht="18" x14ac:dyDescent="0.55000000000000004">
      <c r="A2" s="1"/>
      <c r="B2" s="104" t="s">
        <v>203</v>
      </c>
      <c r="C2" s="104"/>
      <c r="D2" s="104"/>
      <c r="E2" s="104"/>
      <c r="F2" s="104"/>
      <c r="G2" s="104"/>
      <c r="H2" s="104"/>
      <c r="I2" s="1"/>
    </row>
    <row r="3" spans="1:9" ht="18" x14ac:dyDescent="0.55000000000000004">
      <c r="A3" s="1"/>
      <c r="B3" s="49"/>
      <c r="C3" s="49"/>
      <c r="D3" s="49"/>
      <c r="E3" s="49"/>
      <c r="F3" s="49"/>
      <c r="G3" s="49"/>
      <c r="H3" s="49"/>
      <c r="I3" s="1"/>
    </row>
    <row r="4" spans="1:9" x14ac:dyDescent="0.45">
      <c r="A4" s="1"/>
      <c r="B4" s="95" t="s">
        <v>101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98" t="s">
        <v>106</v>
      </c>
      <c r="C5" s="99"/>
      <c r="D5" s="99"/>
      <c r="E5" s="99"/>
      <c r="F5" s="100"/>
      <c r="G5" s="26">
        <v>4934732.160847106</v>
      </c>
      <c r="H5" s="14" t="s">
        <v>3</v>
      </c>
      <c r="I5" s="1"/>
    </row>
    <row r="6" spans="1:9" x14ac:dyDescent="0.45">
      <c r="A6" s="1"/>
      <c r="B6" s="98" t="s">
        <v>102</v>
      </c>
      <c r="C6" s="99"/>
      <c r="D6" s="99"/>
      <c r="E6" s="99"/>
      <c r="F6" s="100"/>
      <c r="G6" s="26">
        <f>G5*'Fane 14. Nøgletal'!C17</f>
        <v>44906.062663708668</v>
      </c>
      <c r="H6" s="14" t="s">
        <v>3</v>
      </c>
      <c r="I6" s="1"/>
    </row>
    <row r="7" spans="1:9" x14ac:dyDescent="0.45">
      <c r="A7" s="1"/>
      <c r="B7" s="39"/>
      <c r="C7" s="40"/>
      <c r="D7" s="40"/>
      <c r="E7" s="40"/>
      <c r="F7" s="40"/>
      <c r="G7" s="40"/>
      <c r="H7" s="22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107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98" t="s">
        <v>108</v>
      </c>
      <c r="C10" s="99"/>
      <c r="D10" s="99"/>
      <c r="E10" s="99"/>
      <c r="F10" s="100"/>
      <c r="G10" s="26">
        <f>(G5-G6)*(1+'Fane 14. Nøgletal'!C9)</f>
        <v>4951926.8896303261</v>
      </c>
      <c r="H10" s="14" t="s">
        <v>3</v>
      </c>
      <c r="I10" s="1"/>
    </row>
    <row r="11" spans="1:9" x14ac:dyDescent="0.45">
      <c r="A11" s="1"/>
      <c r="B11" s="101" t="s">
        <v>109</v>
      </c>
      <c r="C11" s="102"/>
      <c r="D11" s="102"/>
      <c r="E11" s="102"/>
      <c r="F11" s="103"/>
      <c r="G11" s="26">
        <v>0</v>
      </c>
      <c r="H11" s="14" t="s">
        <v>3</v>
      </c>
      <c r="I11" s="1"/>
    </row>
    <row r="12" spans="1:9" x14ac:dyDescent="0.45">
      <c r="A12" s="1"/>
      <c r="B12" s="98" t="s">
        <v>110</v>
      </c>
      <c r="C12" s="99"/>
      <c r="D12" s="99"/>
      <c r="E12" s="99"/>
      <c r="F12" s="100"/>
      <c r="G12" s="26">
        <f>G10*'Fane 14. Nøgletal'!C17+G11*'Fane 14. Nøgletal'!C18</f>
        <v>45062.534695635972</v>
      </c>
      <c r="H12" s="14" t="s">
        <v>3</v>
      </c>
      <c r="I12" s="1"/>
    </row>
    <row r="13" spans="1:9" x14ac:dyDescent="0.45">
      <c r="A13" s="1"/>
      <c r="B13" s="39"/>
      <c r="C13" s="40"/>
      <c r="D13" s="40"/>
      <c r="E13" s="40"/>
      <c r="F13" s="40"/>
      <c r="G13" s="40"/>
      <c r="H13" s="22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95" t="s">
        <v>111</v>
      </c>
      <c r="C15" s="96"/>
      <c r="D15" s="96"/>
      <c r="E15" s="96"/>
      <c r="F15" s="96"/>
      <c r="G15" s="96"/>
      <c r="H15" s="97"/>
      <c r="I15" s="1"/>
    </row>
    <row r="16" spans="1:9" x14ac:dyDescent="0.45">
      <c r="A16" s="1"/>
      <c r="B16" s="98" t="s">
        <v>112</v>
      </c>
      <c r="C16" s="99"/>
      <c r="D16" s="99"/>
      <c r="E16" s="99"/>
      <c r="F16" s="100"/>
      <c r="G16" s="26">
        <f>(G10+G11-G12)*(1+'Fane 14. Nøgletal'!C11)</f>
        <v>4989790.362533086</v>
      </c>
      <c r="H16" s="14" t="s">
        <v>3</v>
      </c>
      <c r="I16" s="1"/>
    </row>
    <row r="17" spans="1:9" x14ac:dyDescent="0.45">
      <c r="A17" s="1"/>
      <c r="B17" s="98" t="s">
        <v>223</v>
      </c>
      <c r="C17" s="99"/>
      <c r="D17" s="99"/>
      <c r="E17" s="99"/>
      <c r="F17" s="100"/>
      <c r="G17" s="26">
        <v>191252.02361122437</v>
      </c>
      <c r="H17" s="14" t="s">
        <v>3</v>
      </c>
      <c r="I17" s="1"/>
    </row>
    <row r="18" spans="1:9" x14ac:dyDescent="0.45">
      <c r="A18" s="1"/>
      <c r="B18" s="101" t="s">
        <v>113</v>
      </c>
      <c r="C18" s="102"/>
      <c r="D18" s="102"/>
      <c r="E18" s="102"/>
      <c r="F18" s="103"/>
      <c r="G18" s="26">
        <v>0</v>
      </c>
      <c r="H18" s="14" t="s">
        <v>3</v>
      </c>
      <c r="I18" s="1"/>
    </row>
    <row r="19" spans="1:9" x14ac:dyDescent="0.45">
      <c r="A19" s="1"/>
      <c r="B19" s="98" t="s">
        <v>114</v>
      </c>
      <c r="C19" s="99"/>
      <c r="D19" s="99"/>
      <c r="E19" s="99"/>
      <c r="F19" s="100"/>
      <c r="G19" s="26">
        <f>SUM(G16:G18)*'Fane 14. Nøgletal'!C19</f>
        <v>45075.068759455498</v>
      </c>
      <c r="H19" s="14" t="s">
        <v>3</v>
      </c>
      <c r="I19" s="1"/>
    </row>
    <row r="20" spans="1:9" x14ac:dyDescent="0.45">
      <c r="A20" s="1"/>
      <c r="B20" s="39"/>
      <c r="C20" s="40"/>
      <c r="D20" s="40"/>
      <c r="E20" s="40"/>
      <c r="F20" s="40"/>
      <c r="G20" s="40"/>
      <c r="H20" s="22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115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98" t="s">
        <v>116</v>
      </c>
      <c r="C23" s="99"/>
      <c r="D23" s="99"/>
      <c r="E23" s="99"/>
      <c r="F23" s="100"/>
      <c r="G23" s="26">
        <f>(SUM(G16:G18)-G19)*(1+'Fane 14. Nøgletal'!C11)</f>
        <v>5222765.1650486588</v>
      </c>
      <c r="H23" s="14" t="s">
        <v>3</v>
      </c>
      <c r="I23" s="1"/>
    </row>
    <row r="24" spans="1:9" x14ac:dyDescent="0.45">
      <c r="A24" s="1"/>
      <c r="B24" s="101" t="s">
        <v>117</v>
      </c>
      <c r="C24" s="102"/>
      <c r="D24" s="102"/>
      <c r="E24" s="102"/>
      <c r="F24" s="103"/>
      <c r="G24" s="26">
        <f>('Fane 2.1. Økonomisk ramme 2020'!C11+'Fane 2.1. Økonomisk ramme 2020'!C13+'Fane 2.1. Økonomisk ramme 2020'!C15)*(1+'Fane 14. Nøgletal'!C12)</f>
        <v>0</v>
      </c>
      <c r="H24" s="14" t="s">
        <v>3</v>
      </c>
      <c r="I24" s="1"/>
    </row>
    <row r="25" spans="1:9" x14ac:dyDescent="0.45">
      <c r="A25" s="1"/>
      <c r="B25" s="98" t="s">
        <v>118</v>
      </c>
      <c r="C25" s="99"/>
      <c r="D25" s="99"/>
      <c r="E25" s="99"/>
      <c r="F25" s="100"/>
      <c r="G25" s="26">
        <f>G23*'Fane 14. Nøgletal'!C19+G24*'Fane 14. Nøgletal'!C20</f>
        <v>45438.056935923327</v>
      </c>
      <c r="H25" s="14" t="s">
        <v>3</v>
      </c>
      <c r="I25" s="1"/>
    </row>
    <row r="26" spans="1:9" x14ac:dyDescent="0.45">
      <c r="A26" s="1"/>
      <c r="B26" s="39"/>
      <c r="C26" s="40"/>
      <c r="D26" s="40"/>
      <c r="E26" s="40"/>
      <c r="F26" s="40"/>
      <c r="G26" s="40"/>
      <c r="H26" s="22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190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98" t="s">
        <v>119</v>
      </c>
      <c r="C29" s="99"/>
      <c r="D29" s="99"/>
      <c r="E29" s="99"/>
      <c r="F29" s="100"/>
      <c r="G29" s="26">
        <f>(G23+G24-G25)*(1+'Fane 14. Nøgletal'!C12)</f>
        <v>5279320.4521425571</v>
      </c>
      <c r="H29" s="14" t="s">
        <v>3</v>
      </c>
      <c r="I29" s="1"/>
    </row>
    <row r="30" spans="1:9" x14ac:dyDescent="0.45">
      <c r="A30" s="1"/>
      <c r="B30" s="98" t="s">
        <v>151</v>
      </c>
      <c r="C30" s="99"/>
      <c r="D30" s="99"/>
      <c r="E30" s="99"/>
      <c r="F30" s="100"/>
      <c r="G30" s="26">
        <f>-'Fane 12. Bortfald'!E19*(1+'Fane 14. Nøgletal'!C12)</f>
        <v>0</v>
      </c>
      <c r="H30" s="14" t="s">
        <v>3</v>
      </c>
      <c r="I30" s="1"/>
    </row>
    <row r="31" spans="1:9" x14ac:dyDescent="0.45">
      <c r="A31" s="1"/>
      <c r="B31" s="98" t="s">
        <v>219</v>
      </c>
      <c r="C31" s="99"/>
      <c r="D31" s="99"/>
      <c r="E31" s="99"/>
      <c r="F31" s="100"/>
      <c r="G31" s="26">
        <f>(G29+G30)*'Fane 14. Nøgletal'!C20</f>
        <v>149932.70084084864</v>
      </c>
      <c r="H31" s="14" t="s">
        <v>3</v>
      </c>
      <c r="I31" s="1"/>
    </row>
    <row r="32" spans="1:9" x14ac:dyDescent="0.45">
      <c r="A32" s="1"/>
      <c r="B32" s="39"/>
      <c r="C32" s="40"/>
      <c r="D32" s="40"/>
      <c r="E32" s="40"/>
      <c r="F32" s="40"/>
      <c r="G32" s="40"/>
      <c r="H32" s="22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128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98" t="s">
        <v>123</v>
      </c>
      <c r="C35" s="99"/>
      <c r="D35" s="99"/>
      <c r="E35" s="99"/>
      <c r="F35" s="100"/>
      <c r="G35" s="26">
        <f>(G29-G31)*(1+'Fane 14. Nøgletal'!C12)</f>
        <v>5230436.6900023529</v>
      </c>
      <c r="H35" s="14" t="s">
        <v>3</v>
      </c>
      <c r="I35" s="1"/>
    </row>
    <row r="36" spans="1:9" x14ac:dyDescent="0.45">
      <c r="A36" s="1"/>
      <c r="B36" s="98" t="s">
        <v>152</v>
      </c>
      <c r="C36" s="99"/>
      <c r="D36" s="99"/>
      <c r="E36" s="99"/>
      <c r="F36" s="100"/>
      <c r="G36" s="26">
        <f>-'Fane 12. Bortfald'!E26*(1+'Fane 14. Nøgletal'!C12)</f>
        <v>0</v>
      </c>
      <c r="H36" s="14" t="s">
        <v>3</v>
      </c>
      <c r="I36" s="1"/>
    </row>
    <row r="37" spans="1:9" x14ac:dyDescent="0.45">
      <c r="A37" s="1"/>
      <c r="B37" s="98" t="s">
        <v>120</v>
      </c>
      <c r="C37" s="99"/>
      <c r="D37" s="99"/>
      <c r="E37" s="99"/>
      <c r="F37" s="100"/>
      <c r="G37" s="26">
        <f>(G35+G36)*'Fane 14. Nøgletal'!C20</f>
        <v>148544.40199606682</v>
      </c>
      <c r="H37" s="14" t="s">
        <v>3</v>
      </c>
      <c r="I37" s="1"/>
    </row>
    <row r="38" spans="1:9" x14ac:dyDescent="0.45">
      <c r="A38" s="1"/>
      <c r="B38" s="39"/>
      <c r="C38" s="40"/>
      <c r="D38" s="40"/>
      <c r="E38" s="40"/>
      <c r="F38" s="40"/>
      <c r="G38" s="40"/>
      <c r="H38" s="22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129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98" t="s">
        <v>122</v>
      </c>
      <c r="C41" s="99"/>
      <c r="D41" s="99"/>
      <c r="E41" s="99"/>
      <c r="F41" s="100"/>
      <c r="G41" s="26">
        <f>(G35-G37)*(1+'Fane 14. Nøgletal'!C12)</f>
        <v>5182005.5660800105</v>
      </c>
      <c r="H41" s="14" t="s">
        <v>3</v>
      </c>
      <c r="I41" s="1"/>
    </row>
    <row r="42" spans="1:9" x14ac:dyDescent="0.45">
      <c r="A42" s="1"/>
      <c r="B42" s="98" t="s">
        <v>153</v>
      </c>
      <c r="C42" s="99"/>
      <c r="D42" s="99"/>
      <c r="E42" s="99"/>
      <c r="F42" s="100"/>
      <c r="G42" s="26">
        <f>-'Fane 12. Bortfald'!E33*(1+'Fane 14. Nøgletal'!C12)</f>
        <v>0</v>
      </c>
      <c r="H42" s="14" t="s">
        <v>3</v>
      </c>
      <c r="I42" s="1"/>
    </row>
    <row r="43" spans="1:9" x14ac:dyDescent="0.45">
      <c r="A43" s="1"/>
      <c r="B43" s="98" t="s">
        <v>121</v>
      </c>
      <c r="C43" s="99"/>
      <c r="D43" s="99"/>
      <c r="E43" s="99"/>
      <c r="F43" s="100"/>
      <c r="G43" s="26">
        <f>(G41+G42)*'Fane 14. Nøgletal'!C20</f>
        <v>147168.95807667231</v>
      </c>
      <c r="H43" s="14" t="s">
        <v>3</v>
      </c>
      <c r="I43" s="1"/>
    </row>
    <row r="44" spans="1:9" x14ac:dyDescent="0.45">
      <c r="A44" s="1"/>
      <c r="B44" s="39"/>
      <c r="C44" s="40"/>
      <c r="D44" s="40"/>
      <c r="E44" s="40"/>
      <c r="F44" s="40"/>
      <c r="G44" s="40"/>
      <c r="H44" s="22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MfTfC5jgq8AiOLNQ3u+b5Io+RFIwNu+uS9GbBXECaJ+GHeCIL9wE8oJSoGa8AAGdbXBc3oyPqsizKai2O1KIIg==" saltValue="Pr3obXL52w2xe4osMmBTlQ==" spinCount="100000" sheet="1" objects="1" scenarios="1"/>
  <mergeCells count="29">
    <mergeCell ref="B22:H22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  <mergeCell ref="B17:F1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72" t="s">
        <v>144</v>
      </c>
      <c r="C3" s="72"/>
      <c r="D3" s="72"/>
      <c r="E3" s="72"/>
      <c r="F3" s="72"/>
      <c r="G3" s="72"/>
      <c r="H3" s="72"/>
      <c r="I3" s="1"/>
    </row>
    <row r="4" spans="1:9" ht="15" customHeight="1" x14ac:dyDescent="0.45">
      <c r="A4" s="1"/>
      <c r="B4" s="72"/>
      <c r="C4" s="72"/>
      <c r="D4" s="72"/>
      <c r="E4" s="72"/>
      <c r="F4" s="72"/>
      <c r="G4" s="72"/>
      <c r="H4" s="72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98" t="s">
        <v>178</v>
      </c>
      <c r="C9" s="99"/>
      <c r="D9" s="99"/>
      <c r="E9" s="99"/>
      <c r="F9" s="100"/>
      <c r="G9" s="25">
        <v>1.0840832937223101E-2</v>
      </c>
      <c r="H9" s="14"/>
      <c r="I9" s="1"/>
    </row>
    <row r="10" spans="1:9" x14ac:dyDescent="0.45">
      <c r="A10" s="1"/>
      <c r="B10" s="98" t="s">
        <v>179</v>
      </c>
      <c r="C10" s="99"/>
      <c r="D10" s="99"/>
      <c r="E10" s="99"/>
      <c r="F10" s="100"/>
      <c r="G10" s="25">
        <v>1.2668733641068571E-2</v>
      </c>
      <c r="H10" s="14"/>
      <c r="I10" s="1"/>
    </row>
    <row r="11" spans="1:9" x14ac:dyDescent="0.45">
      <c r="A11" s="1"/>
      <c r="B11" s="39"/>
      <c r="C11" s="40"/>
      <c r="D11" s="40"/>
      <c r="E11" s="40"/>
      <c r="F11" s="40"/>
      <c r="G11" s="40"/>
      <c r="H11" s="22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45">
      <c r="A13" s="20"/>
      <c r="B13" s="105"/>
      <c r="C13" s="105"/>
      <c r="D13" s="105"/>
      <c r="E13" s="105"/>
      <c r="F13" s="105"/>
      <c r="G13" s="105"/>
      <c r="H13" s="105"/>
      <c r="I13" s="20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7kd+aHfTo6NnJ9IySuTsnxSq6hnK/gorOWRdEU+k5uILExIn4tndYNQZgUvIHFDmv2o6zJGFx1Y7JoYqSrfnCQ==" saltValue="ep2uoYw26TTHnZNK+KoDRg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2020</vt:lpstr>
      <vt:lpstr>Fane 2.2. Økonomisk ramme 2021</vt:lpstr>
      <vt:lpstr>Fane 2.3. Økonomisk ramme 2022</vt:lpstr>
      <vt:lpstr>Fane 2.4. Økonomisk ramme 2023</vt:lpstr>
      <vt:lpstr>Fane 3. Omkostninger i ØR2019</vt:lpstr>
      <vt:lpstr>Fane 4.1. Gen. krav - drift</vt:lpstr>
      <vt:lpstr>Fane 4.2. Gen. krav - anlæg</vt:lpstr>
      <vt:lpstr>Fane 5. Individuelt eff. krav</vt:lpstr>
      <vt:lpstr>Fane 6. Ikke-påvirkelige omk.</vt:lpstr>
      <vt:lpstr>Fane 7. Kontrol af ØR2018</vt:lpstr>
      <vt:lpstr>Fane 8. Korrektioner</vt:lpstr>
      <vt:lpstr>Fane 9. Anlægsprojekter</vt:lpstr>
      <vt:lpstr>Fane 10.1. Varige tillæg</vt:lpstr>
      <vt:lpstr>Fane 10.2. Engangstillæg</vt:lpstr>
      <vt:lpstr>Fane 11. Tilknyttet aktivitet</vt:lpstr>
      <vt:lpstr>Fane 12. Bortfald</vt:lpstr>
      <vt:lpstr>Fane 13. Hist. over-underdæk.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Mie Nørgaard Hilstrøm</cp:lastModifiedBy>
  <cp:lastPrinted>2016-06-14T12:57:30Z</cp:lastPrinted>
  <dcterms:created xsi:type="dcterms:W3CDTF">2016-06-02T08:51:18Z</dcterms:created>
  <dcterms:modified xsi:type="dcterms:W3CDTF">2019-09-05T10:18:33Z</dcterms:modified>
</cp:coreProperties>
</file>