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andcenter Syd AS (V199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3" i="37" s="1"/>
  <c r="C14" i="37" s="1"/>
  <c r="C10" i="2" s="1"/>
  <c r="G11" i="11"/>
  <c r="E11" i="21" l="1"/>
  <c r="C11" i="21"/>
  <c r="E11" i="29"/>
  <c r="C11" i="29"/>
  <c r="C14" i="19"/>
  <c r="C15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3" i="37" s="1"/>
  <c r="E14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<sst xmlns="http://schemas.openxmlformats.org/spreadsheetml/2006/main" count="597" uniqueCount="245">
  <si>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</si>
  <si>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</si>
  <si>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</si>
  <si>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</si>
  <si>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</si>
  <si>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</si>
  <si>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</si>
  <si>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</si>
  <si>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</si>
  <si>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</si>
  <si>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</si>
  <si>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</si>
  <si>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</si>
  <si>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</si>
  <si>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</si>
  <si>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</si>
  <si>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</si>
  <si>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</si>
  <si>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</si>
  <si>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</si>
  <si>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</si>
  <si>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</si>
  <si>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</si>
  <si>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</si>
  <si>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</si>
  <si>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</si>
  <si>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</si>
  <si>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</si>
  <si>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</si>
  <si>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</si>
  <si>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</si>
  <si>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</si>
  <si>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</si>
  <si>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</si>
  <si>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</si>
  <si>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</si>
  <si>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</si>
  <si>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</si>
  <si>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</si>
  <si>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</si>
  <si>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</si>
  <si>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</si>
  <si>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</si>
  <si>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</si>
  <si>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</si>
  <si>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</si>
  <si>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</si>
  <si>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</si>
  <si>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</si>
  <si>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</si>
  <si>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</si>
  <si>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</si>
  <si>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</si>
  <si>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</si>
  <si>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</si>
  <si>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</si>
  <si>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</si>
  <si>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</si>
  <si>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</si>
  <si>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</si>
  <si>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</si>
  <si>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</si>
  <si>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</si>
  <si>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</si>
  <si>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</si>
  <si>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</si>
  <si>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</si>
  <si>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</si>
  <si>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</si>
  <si>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</si>
  <si>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</si>
  <si>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</si>
  <si>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</si>
  <si>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</si>
  <si>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</si>
  <si>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</si>
  <si>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</si>
  <si>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</si>
  <si>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</si>
  <si>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</si>
  <si>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</si>
  <si>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</si>
  <si>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</si>
  <si>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</si>
  <si>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</si>
  <si>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</si>
  <si>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</si>
  <si>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</si>
  <si>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</si>
  <si>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</si>
  <si>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</si>
  <si>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</si>
  <si>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</si>
  <si>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</si>
  <si>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</si>
  <si>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</si>
  <si>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</si>
  <si>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</si>
  <si>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</si>
  <si>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</si>
  <si>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</si>
  <si>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</si>
  <si>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</si>
  <si>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</si>
  <si>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</si>
  <si>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</si>
  <si>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</si>
  <si>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</si>
  <si>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</si>
  <si>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</si>
  <si>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</si>
  <si>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</si>
  <si>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</si>
  <si>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</si>
  <si>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</si>
  <si>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</si>
  <si>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</si>
  <si>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</si>
  <si>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</si>
  <si>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</si>
  <si>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</si>
  <si>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</si>
  <si>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</si>
  <si>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</si>
  <si>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</si>
  <si>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</si>
  <si>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</si>
  <si>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</si>
  <si>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</si>
  <si>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</si>
  <si>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</si>
  <si>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</si>
  <si>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</si>
  <si>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</si>
  <si>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</si>
  <si>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</si>
  <si>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</si>
  <si>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</si>
  <si>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</si>
  <si>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</si>
  <si>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</si>
  <si>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</si>
  <si>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</si>
  <si>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</si>
  <si>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</si>
  <si>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</si>
  <si>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</si>
  <si>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</si>
  <si>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</si>
  <si>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</si>
  <si>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</si>
  <si>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</si>
  <si>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</si>
  <si>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</si>
  <si>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</si>
  <si>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</si>
  <si>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</si>
  <si>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</si>
  <si>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</si>
  <si>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</si>
  <si>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</si>
  <si>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</si>
  <si>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</si>
  <si>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</si>
  <si>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</si>
  <si>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</si>
  <si>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</si>
  <si>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</si>
  <si>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</si>
  <si>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</si>
  <si>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</si>
  <si>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</si>
  <si>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</si>
  <si>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</si>
  <si>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</si>
  <si>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</si>
  <si>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</si>
  <si>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</si>
  <si>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</si>
  <si>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</si>
  <si>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</si>
  <si>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</si>
  <si>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</si>
  <si>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</si>
  <si>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</si>
  <si>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</si>
  <si>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</si>
  <si>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</si>
  <si>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</si>
  <si>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</si>
  <si>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</si>
  <si>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</si>
  <si>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</si>
  <si>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</si>
  <si>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</si>
  <si>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</si>
  <si>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</si>
  <si>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</si>
  <si>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</si>
  <si>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</si>
  <si>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</si>
  <si>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</si>
  <si>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</si>
  <si>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</si>
  <si>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</si>
  <si>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</si>
  <si>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</si>
  <si>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</si>
  <si>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</si>
  <si>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</si>
  <si>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</si>
  <si>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</si>
  <si>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</si>
  <si>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</si>
  <si>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</si>
  <si>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</si>
  <si>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</si>
  <si>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</si>
  <si>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</si>
  <si>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</si>
  <si>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</si>
  <si>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</si>
  <si>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</si>
  <si>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</si>
  <si>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</si>
  <si>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</si>
  <si>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</si>
  <si>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</si>
  <si>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</si>
  <si>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</si>
  <si>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</si>
  <si>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</si>
  <si>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</si>
  <si>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</si>
  <si>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</si>
  <si>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</si>
  <si>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</si>
  <si>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Tjenestemandspensioner</t>
  </si>
  <si>
    <t>Letbane</t>
  </si>
  <si>
    <t>Erhvervsudstykning</t>
  </si>
  <si>
    <t>Ingen engangstillæg</t>
  </si>
  <si>
    <t>Ingen anlægsprojekter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</si>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</sst>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8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9" borderId="2" xfId="0" applyNumberFormat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>
        <row r="3">
          <cell r="A3" t="str">
            <v>S016</v>
          </cell>
        </row>
      </sheetData>
      <sheetData sheetId="3"/>
      <sheetData sheetId="4"/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2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2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2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2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2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2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2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2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2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2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2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2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2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7dG60ImDFqZwCvq3aHznPKPYJC6Ux12Gy5wLmhRs113RvgAU9vSbasVgu2eJYTP/KDMJkoOsXkF2mq6XhFjdA==" saltValue="LnMD7ngWsHZs8noShx7IIA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2" t="s">
        <v>204</v>
      </c>
      <c r="C3" s="72"/>
      <c r="D3" s="72"/>
      <c r="E3" s="1"/>
      <c r="F3" s="1"/>
    </row>
    <row r="4" spans="1:6" ht="15" customHeight="1" x14ac:dyDescent="0.25">
      <c r="A4" s="1"/>
      <c r="B4" s="72"/>
      <c r="C4" s="72"/>
      <c r="D4" s="72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5" t="s">
        <v>69</v>
      </c>
      <c r="C8" s="96"/>
      <c r="D8" s="97"/>
      <c r="E8" s="1"/>
      <c r="F8" s="1"/>
    </row>
    <row r="9" spans="1:6" ht="15" customHeight="1" x14ac:dyDescent="0.25">
      <c r="A9" s="1"/>
      <c r="B9" s="45" t="s">
        <v>48</v>
      </c>
      <c r="C9" s="11" t="s">
        <v>70</v>
      </c>
      <c r="D9" s="11"/>
      <c r="E9" s="1"/>
      <c r="F9" s="1"/>
    </row>
    <row r="10" spans="1:6" x14ac:dyDescent="0.25">
      <c r="A10" s="1"/>
      <c r="B10" s="48" t="s">
        <v>234</v>
      </c>
      <c r="C10" s="9">
        <v>53963895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129171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7498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195815</v>
      </c>
      <c r="D13" s="14" t="s">
        <v>3</v>
      </c>
      <c r="E13" s="1"/>
      <c r="F13" s="1"/>
    </row>
    <row r="14" spans="1:6" x14ac:dyDescent="0.25">
      <c r="A14" s="1"/>
      <c r="B14" s="39" t="s">
        <v>71</v>
      </c>
      <c r="C14" s="12">
        <f>SUM(C10:C13)</f>
        <v>54296379</v>
      </c>
      <c r="D14" s="13" t="s">
        <v>3</v>
      </c>
      <c r="E14" s="1"/>
      <c r="F14" s="1"/>
    </row>
    <row r="15" spans="1:6" x14ac:dyDescent="0.25">
      <c r="A15" s="1"/>
      <c r="B15" s="39" t="s">
        <v>72</v>
      </c>
      <c r="C15" s="12">
        <f>C14*(1+'Fane 14. Nøgletal'!C12)^2</f>
        <v>56456728.214326113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zYSi8YZBXxTTmBOxtselKPAukmtxIMXBk1v69QNYJdCb/nLnLoBnTh2i9Q9wuEiRB+ERz4YPFDcCtMmurzRSdQ==" saltValue="kPcTA5/JsSM2rfQs9IwDZ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43"/>
      <c r="C5" s="43"/>
      <c r="D5" s="43"/>
      <c r="E5" s="43"/>
      <c r="F5" s="43"/>
      <c r="G5" s="1"/>
    </row>
    <row r="6" spans="1:7" ht="15" customHeight="1" x14ac:dyDescent="0.2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25">
      <c r="A7" s="1"/>
      <c r="B7" s="98" t="s">
        <v>50</v>
      </c>
      <c r="C7" s="99"/>
      <c r="D7" s="100"/>
      <c r="E7" s="9">
        <v>-14578486.505216666</v>
      </c>
      <c r="F7" s="14" t="s">
        <v>3</v>
      </c>
      <c r="G7" s="1"/>
    </row>
    <row r="8" spans="1:7" ht="15" customHeight="1" x14ac:dyDescent="0.25">
      <c r="A8" s="1"/>
      <c r="B8" s="98" t="s">
        <v>51</v>
      </c>
      <c r="C8" s="99"/>
      <c r="D8" s="100"/>
      <c r="E8" s="9">
        <v>15262602.098310888</v>
      </c>
      <c r="F8" s="14" t="s">
        <v>3</v>
      </c>
      <c r="G8" s="1"/>
    </row>
    <row r="9" spans="1:7" ht="15" customHeight="1" x14ac:dyDescent="0.25">
      <c r="A9" s="1"/>
      <c r="B9" s="106" t="s">
        <v>186</v>
      </c>
      <c r="C9" s="107"/>
      <c r="D9" s="108"/>
      <c r="E9" s="10">
        <f>SUM(E7:E8)</f>
        <v>684115.59309422225</v>
      </c>
      <c r="F9" s="17" t="s">
        <v>3</v>
      </c>
      <c r="G9" s="1"/>
    </row>
    <row r="10" spans="1:7" ht="15" customHeight="1" x14ac:dyDescent="0.25">
      <c r="A10" s="1"/>
      <c r="B10" s="39"/>
      <c r="C10" s="40"/>
      <c r="D10" s="40"/>
      <c r="E10" s="40"/>
      <c r="F10" s="22"/>
      <c r="G10" s="1"/>
    </row>
    <row r="11" spans="1:7" ht="28.5" customHeight="1" x14ac:dyDescent="0.25">
      <c r="A11" s="1"/>
      <c r="B11" s="74" t="s">
        <v>188</v>
      </c>
      <c r="C11" s="75"/>
      <c r="D11" s="75"/>
      <c r="E11" s="75"/>
      <c r="F11" s="7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5" t="s">
        <v>165</v>
      </c>
      <c r="C14" s="96"/>
      <c r="D14" s="96"/>
      <c r="E14" s="96"/>
      <c r="F14" s="97"/>
      <c r="G14" s="1"/>
    </row>
    <row r="15" spans="1:7" x14ac:dyDescent="0.25">
      <c r="A15" s="1"/>
      <c r="B15" s="98" t="s">
        <v>166</v>
      </c>
      <c r="C15" s="99"/>
      <c r="D15" s="100"/>
      <c r="E15" s="9">
        <v>180981301.43707851</v>
      </c>
      <c r="F15" s="14" t="s">
        <v>3</v>
      </c>
      <c r="G15" s="1"/>
    </row>
    <row r="16" spans="1:7" x14ac:dyDescent="0.25">
      <c r="A16" s="1"/>
      <c r="B16" s="98" t="s">
        <v>167</v>
      </c>
      <c r="C16" s="99"/>
      <c r="D16" s="100"/>
      <c r="E16" s="9">
        <v>165320583</v>
      </c>
      <c r="F16" s="14" t="s">
        <v>3</v>
      </c>
      <c r="G16" s="1"/>
    </row>
    <row r="17" spans="1:7" x14ac:dyDescent="0.2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25">
      <c r="A18" s="1"/>
      <c r="B18" s="106" t="s">
        <v>187</v>
      </c>
      <c r="C18" s="107"/>
      <c r="D18" s="108"/>
      <c r="E18" s="10">
        <f>E15-(E16-E17)</f>
        <v>15660718.437078506</v>
      </c>
      <c r="F18" s="17" t="s">
        <v>3</v>
      </c>
      <c r="G18" s="1"/>
    </row>
    <row r="19" spans="1:7" x14ac:dyDescent="0.25">
      <c r="A19" s="1"/>
      <c r="B19" s="39"/>
      <c r="C19" s="40"/>
      <c r="D19" s="40"/>
      <c r="E19" s="40"/>
      <c r="F19" s="22"/>
      <c r="G19" s="1"/>
    </row>
    <row r="20" spans="1:7" ht="30" customHeight="1" x14ac:dyDescent="0.25">
      <c r="A20" s="1"/>
      <c r="B20" s="74" t="s">
        <v>189</v>
      </c>
      <c r="C20" s="75"/>
      <c r="D20" s="75"/>
      <c r="E20" s="75"/>
      <c r="F20" s="7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95" t="s">
        <v>77</v>
      </c>
      <c r="C23" s="96"/>
      <c r="D23" s="96"/>
      <c r="E23" s="96"/>
      <c r="F23" s="97"/>
      <c r="G23" s="1"/>
    </row>
    <row r="24" spans="1:7" x14ac:dyDescent="0.25">
      <c r="A24" s="1"/>
      <c r="B24" s="98" t="s">
        <v>78</v>
      </c>
      <c r="C24" s="99"/>
      <c r="D24" s="100"/>
      <c r="E24" s="9">
        <v>168784944.33994666</v>
      </c>
      <c r="F24" s="14" t="s">
        <v>3</v>
      </c>
      <c r="G24" s="1"/>
    </row>
    <row r="25" spans="1:7" x14ac:dyDescent="0.25">
      <c r="A25" s="1"/>
      <c r="B25" s="98" t="s">
        <v>79</v>
      </c>
      <c r="C25" s="99"/>
      <c r="D25" s="100"/>
      <c r="E25" s="9">
        <v>157084203</v>
      </c>
      <c r="F25" s="14" t="s">
        <v>3</v>
      </c>
      <c r="G25" s="1"/>
    </row>
    <row r="26" spans="1:7" x14ac:dyDescent="0.2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25">
      <c r="A27" s="1"/>
      <c r="B27" s="106" t="s">
        <v>187</v>
      </c>
      <c r="C27" s="107"/>
      <c r="D27" s="108"/>
      <c r="E27" s="10">
        <f>E24-(E25-E26)</f>
        <v>11700741.339946657</v>
      </c>
      <c r="F27" s="17" t="s">
        <v>3</v>
      </c>
      <c r="G27" s="1"/>
    </row>
    <row r="28" spans="1:7" x14ac:dyDescent="0.25">
      <c r="A28" s="1"/>
      <c r="B28" s="39"/>
      <c r="C28" s="40"/>
      <c r="D28" s="40"/>
      <c r="E28" s="40"/>
      <c r="F28" s="22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5" t="s">
        <v>243</v>
      </c>
      <c r="C31" s="96"/>
      <c r="D31" s="96"/>
      <c r="E31" s="96"/>
      <c r="F31" s="97"/>
      <c r="G31" s="1"/>
    </row>
    <row r="32" spans="1:7" x14ac:dyDescent="0.25">
      <c r="A32" s="1"/>
      <c r="B32" s="106" t="s">
        <v>244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342057.79654711112</v>
      </c>
      <c r="F32" s="17" t="s">
        <v>3</v>
      </c>
      <c r="G32" s="1"/>
    </row>
    <row r="33" spans="1:7" x14ac:dyDescent="0.25">
      <c r="A33" s="1"/>
      <c r="B33" s="95"/>
      <c r="C33" s="96"/>
      <c r="D33" s="96"/>
      <c r="E33" s="96"/>
      <c r="F33" s="97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95" t="s">
        <v>180</v>
      </c>
      <c r="C36" s="96"/>
      <c r="D36" s="96"/>
      <c r="E36" s="96"/>
      <c r="F36" s="97"/>
      <c r="G36" s="1"/>
    </row>
    <row r="37" spans="1:7" x14ac:dyDescent="0.2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2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2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25">
      <c r="A40" s="1"/>
      <c r="B40" s="95"/>
      <c r="C40" s="96"/>
      <c r="D40" s="96"/>
      <c r="E40" s="96"/>
      <c r="F40" s="97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lIDrnK5FN/J/fVKt9TV9chIlrZAMTE2l1VI9oGnLXmOOFf0aNog90JnS9RC8vm12pbkFGSxKSZVNCXPijsd0NQ==" saltValue="nPbMuZh6ilphvb2ckqBG4A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140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2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2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xrIUrTkd/LHpn7WYSDUjnV3KY4QktUzN1iJhQWVisNyJMFqqf+TeaHgJDjxqOtjYJE6jak/igGKE9ilFWZATxQ==" saltValue="97R43F3CIHjBUExUGOsMa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2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25">
      <c r="A10" s="1"/>
      <c r="B10" s="115" t="s">
        <v>241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2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CysqvFxyYFnZ4tr4CL0oIPjW88dc2dSXfFrxU084p34zsPg4GAz80Une4OrMTw/0luNATtBOgJ6qsPVY8XfdKQ==" saltValue="I168QACtt8KJ0ht/2Qjk0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242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25">
      <c r="A11" s="1"/>
      <c r="B11" s="117" t="s">
        <v>238</v>
      </c>
      <c r="C11" s="24">
        <v>0</v>
      </c>
      <c r="D11" s="14" t="s">
        <v>3</v>
      </c>
      <c r="E11" s="9">
        <v>30322</v>
      </c>
      <c r="F11" s="14" t="s">
        <v>3</v>
      </c>
      <c r="G11" s="1"/>
    </row>
    <row r="12" spans="1:7" x14ac:dyDescent="0.25">
      <c r="A12" s="1"/>
      <c r="B12" s="27" t="s">
        <v>239</v>
      </c>
      <c r="C12" s="24">
        <v>0</v>
      </c>
      <c r="D12" s="14" t="s">
        <v>3</v>
      </c>
      <c r="E12" s="9">
        <v>14644</v>
      </c>
      <c r="F12" s="14" t="s">
        <v>3</v>
      </c>
      <c r="G12" s="1"/>
    </row>
    <row r="13" spans="1:7" x14ac:dyDescent="0.25">
      <c r="A13" s="1"/>
      <c r="B13" s="39" t="s">
        <v>63</v>
      </c>
      <c r="C13" s="12">
        <f>SUM(C10:C12)</f>
        <v>0</v>
      </c>
      <c r="D13" s="13" t="s">
        <v>3</v>
      </c>
      <c r="E13" s="12">
        <f>SUM(E10:E12)</f>
        <v>44966</v>
      </c>
      <c r="F13" s="13" t="s">
        <v>3</v>
      </c>
      <c r="G13" s="1"/>
    </row>
    <row r="14" spans="1:7" x14ac:dyDescent="0.25">
      <c r="A14" s="1"/>
      <c r="B14" s="39" t="s">
        <v>74</v>
      </c>
      <c r="C14" s="12">
        <f>C13*(1+'Fane 14. Nøgletal'!C12)</f>
        <v>0</v>
      </c>
      <c r="D14" s="13" t="s">
        <v>3</v>
      </c>
      <c r="E14" s="12">
        <f>E13*(1+'Fane 14. Nøgletal'!C12)</f>
        <v>45851.830200000004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lUGyD4E6iTMBDgnd8RI1UHuJ0BxY7rliuE06jCOBdIsOGhhmah8CWqOkmCsufwpLRGOykv0SSSMqbLGSNXmV9A==" saltValue="kB10LRVJfNw8b023cC2gH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25">
      <c r="A4" s="1"/>
      <c r="B4" s="72"/>
      <c r="C4" s="72"/>
      <c r="D4" s="72"/>
      <c r="E4" s="72"/>
      <c r="F4" s="72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168</v>
      </c>
      <c r="C8" s="96"/>
      <c r="D8" s="96"/>
      <c r="E8" s="96"/>
      <c r="F8" s="97"/>
      <c r="G8" s="1"/>
    </row>
    <row r="9" spans="1:7" x14ac:dyDescent="0.2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25">
      <c r="A10" s="1"/>
      <c r="B10" s="27" t="s">
        <v>240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2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2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5" t="s">
        <v>169</v>
      </c>
      <c r="C16" s="96"/>
      <c r="D16" s="96"/>
      <c r="E16" s="96"/>
      <c r="F16" s="97"/>
      <c r="G16" s="1"/>
    </row>
    <row r="17" spans="1:7" x14ac:dyDescent="0.2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25">
      <c r="A18" s="1"/>
      <c r="B18" s="27" t="s">
        <v>240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2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2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5" t="s">
        <v>170</v>
      </c>
      <c r="C24" s="96"/>
      <c r="D24" s="96"/>
      <c r="E24" s="96"/>
      <c r="F24" s="97"/>
      <c r="G24" s="1"/>
    </row>
    <row r="25" spans="1:7" x14ac:dyDescent="0.2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25">
      <c r="A26" s="1"/>
      <c r="B26" s="27" t="s">
        <v>240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2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2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5" t="s">
        <v>171</v>
      </c>
      <c r="C32" s="96"/>
      <c r="D32" s="96"/>
      <c r="E32" s="96"/>
      <c r="F32" s="97"/>
      <c r="G32" s="1"/>
    </row>
    <row r="33" spans="1:7" x14ac:dyDescent="0.2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25">
      <c r="A34" s="1"/>
      <c r="B34" s="27" t="s">
        <v>240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2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2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derUlH2VyuzQqxBrqJlkzuf1tfeJ2Oe2MDJVNKs+QQBD91ykQ2Pfr4aX92Xm/GnL7x6mVKIs537wZsETXscCXg==" saltValue="UY/isv5OxBA9T/4ym2vuI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2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I3iA+etVs56yH4y0ATpD7ogM27lATpK9+sEexIF8fTdKmhB7ZsRSn+57jxWm6ADqfSC8OgGzTfsFjIOIGA6PjQ==" saltValue="x6aqCiDwFa88CAicoCw9b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2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2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5" t="s">
        <v>157</v>
      </c>
      <c r="C15" s="96"/>
      <c r="D15" s="96"/>
      <c r="E15" s="96"/>
      <c r="F15" s="97"/>
      <c r="G15" s="1"/>
    </row>
    <row r="16" spans="1:7" ht="26.25" x14ac:dyDescent="0.2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2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5" t="s">
        <v>155</v>
      </c>
      <c r="C22" s="96"/>
      <c r="D22" s="96"/>
      <c r="E22" s="96"/>
      <c r="F22" s="97"/>
      <c r="G22" s="1"/>
    </row>
    <row r="23" spans="1:7" ht="26.25" x14ac:dyDescent="0.2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2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5" t="s">
        <v>158</v>
      </c>
      <c r="C29" s="96"/>
      <c r="D29" s="96"/>
      <c r="E29" s="96"/>
      <c r="F29" s="97"/>
      <c r="G29" s="1"/>
    </row>
    <row r="30" spans="1:7" ht="26.25" x14ac:dyDescent="0.2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2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Riz7oFSMyo5/Vv4cDlwoLbd4UUc5wZTRPKjWCtuLqni6yo6xO/FH9UxoO0ssgJ/mGUeGP264Ua1VbhjDlQ5v3w==" saltValue="zRF/QzCxI0LzcJ9mlseg9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12</v>
      </c>
      <c r="C9" s="99"/>
      <c r="D9" s="99"/>
      <c r="E9" s="99"/>
      <c r="F9" s="100"/>
      <c r="G9" s="9">
        <v>-13169586</v>
      </c>
      <c r="H9" s="14" t="s">
        <v>3</v>
      </c>
      <c r="I9" s="1"/>
    </row>
    <row r="10" spans="1:9" x14ac:dyDescent="0.25">
      <c r="A10" s="1"/>
      <c r="B10" s="98" t="s">
        <v>135</v>
      </c>
      <c r="C10" s="99"/>
      <c r="D10" s="99"/>
      <c r="E10" s="99"/>
      <c r="F10" s="100"/>
      <c r="G10" s="9">
        <v>-13771864</v>
      </c>
      <c r="H10" s="14" t="s">
        <v>3</v>
      </c>
      <c r="I10" s="1"/>
    </row>
    <row r="11" spans="1:9" x14ac:dyDescent="0.25">
      <c r="A11" s="1"/>
      <c r="B11" s="98" t="s">
        <v>80</v>
      </c>
      <c r="C11" s="99"/>
      <c r="D11" s="99"/>
      <c r="E11" s="99"/>
      <c r="F11" s="100"/>
      <c r="G11" s="9">
        <v>20055518.333333332</v>
      </c>
      <c r="H11" s="14" t="s">
        <v>3</v>
      </c>
      <c r="I11" s="1"/>
    </row>
    <row r="12" spans="1:9" x14ac:dyDescent="0.25">
      <c r="A12" s="1"/>
      <c r="B12" s="112" t="s">
        <v>15</v>
      </c>
      <c r="C12" s="113"/>
      <c r="D12" s="113"/>
      <c r="E12" s="113"/>
      <c r="F12" s="114"/>
      <c r="G12" s="19">
        <f>(G9+G10)+G11</f>
        <v>-6885931.6666666679</v>
      </c>
      <c r="H12" s="18" t="s">
        <v>3</v>
      </c>
      <c r="I12" s="1"/>
    </row>
    <row r="13" spans="1:9" x14ac:dyDescent="0.25">
      <c r="A13" s="1"/>
      <c r="B13" s="98" t="s">
        <v>13</v>
      </c>
      <c r="C13" s="99"/>
      <c r="D13" s="99"/>
      <c r="E13" s="99"/>
      <c r="F13" s="100"/>
      <c r="G13" s="9">
        <v>1</v>
      </c>
      <c r="H13" s="14" t="s">
        <v>27</v>
      </c>
      <c r="I13" s="1"/>
    </row>
    <row r="14" spans="1:9" x14ac:dyDescent="0.25">
      <c r="A14" s="1"/>
      <c r="B14" s="95" t="s">
        <v>136</v>
      </c>
      <c r="C14" s="96"/>
      <c r="D14" s="96"/>
      <c r="E14" s="96"/>
      <c r="F14" s="97"/>
      <c r="G14" s="12">
        <f>IF(G13 = 0,0,-G12/G13)</f>
        <v>6885931.6666666679</v>
      </c>
      <c r="H14" s="13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CsB0Z5yx7W7ZFbisVJrQg3gxbAhejUM/b+nx3yeMi7hBGXEqMI9shcliE8S06K31AaQ9UXLunDxLd3EwQQo7w==" saltValue="MdKsIK52olzWjX13ceah0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54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9" t="s">
        <v>21</v>
      </c>
      <c r="C8" s="22"/>
      <c r="D8" s="1"/>
    </row>
    <row r="9" spans="1:4" x14ac:dyDescent="0.25">
      <c r="A9" s="1"/>
      <c r="B9" s="48" t="s">
        <v>211</v>
      </c>
      <c r="C9" s="28">
        <v>1.2699999999999999E-2</v>
      </c>
      <c r="D9" s="1"/>
    </row>
    <row r="10" spans="1:4" x14ac:dyDescent="0.25">
      <c r="A10" s="1"/>
      <c r="B10" s="48" t="s">
        <v>30</v>
      </c>
      <c r="C10" s="28">
        <v>1.7500000000000002E-2</v>
      </c>
      <c r="D10" s="1"/>
    </row>
    <row r="11" spans="1:4" x14ac:dyDescent="0.25">
      <c r="A11" s="1"/>
      <c r="B11" s="48" t="s">
        <v>212</v>
      </c>
      <c r="C11" s="28">
        <v>1.6899999999999998E-2</v>
      </c>
      <c r="D11" s="1"/>
    </row>
    <row r="12" spans="1:4" x14ac:dyDescent="0.25">
      <c r="A12" s="1"/>
      <c r="B12" s="35" t="s">
        <v>73</v>
      </c>
      <c r="C12" s="36">
        <v>1.9699999999999999E-2</v>
      </c>
      <c r="D12" s="1"/>
    </row>
    <row r="13" spans="1:4" x14ac:dyDescent="0.25">
      <c r="A13" s="1"/>
      <c r="B13" s="95"/>
      <c r="C13" s="97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39" t="s">
        <v>181</v>
      </c>
      <c r="C16" s="22"/>
      <c r="D16" s="1"/>
    </row>
    <row r="17" spans="1:4" x14ac:dyDescent="0.25">
      <c r="A17" s="1"/>
      <c r="B17" s="48" t="s">
        <v>213</v>
      </c>
      <c r="C17" s="25">
        <v>9.1000000000000004E-3</v>
      </c>
      <c r="D17" s="1"/>
    </row>
    <row r="18" spans="1:4" x14ac:dyDescent="0.25">
      <c r="A18" s="1"/>
      <c r="B18" s="48" t="s">
        <v>214</v>
      </c>
      <c r="C18" s="25">
        <v>1.77E-2</v>
      </c>
      <c r="D18" s="1"/>
    </row>
    <row r="19" spans="1:4" x14ac:dyDescent="0.25">
      <c r="A19" s="1"/>
      <c r="B19" s="48" t="s">
        <v>215</v>
      </c>
      <c r="C19" s="25">
        <v>8.6999999999999994E-3</v>
      </c>
      <c r="D19" s="1"/>
    </row>
    <row r="20" spans="1:4" x14ac:dyDescent="0.25">
      <c r="A20" s="1"/>
      <c r="B20" s="48" t="s">
        <v>216</v>
      </c>
      <c r="C20" s="37">
        <v>2.8400000000000002E-2</v>
      </c>
      <c r="D20" s="1"/>
    </row>
    <row r="21" spans="1:4" x14ac:dyDescent="0.25">
      <c r="A21" s="1"/>
      <c r="B21" s="39"/>
      <c r="C21" s="22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39" t="s">
        <v>182</v>
      </c>
      <c r="C24" s="22"/>
      <c r="D24" s="1"/>
    </row>
    <row r="25" spans="1:4" x14ac:dyDescent="0.25">
      <c r="A25" s="1"/>
      <c r="B25" s="48" t="s">
        <v>217</v>
      </c>
      <c r="C25" s="28">
        <v>0.02</v>
      </c>
      <c r="D25" s="1"/>
    </row>
    <row r="26" spans="1:4" x14ac:dyDescent="0.25">
      <c r="A26" s="1"/>
      <c r="B26" s="39"/>
      <c r="C26" s="22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</sheetData>
  <sheetProtection algorithmName="SHA-512" hashValue="XbcFYh89qsbPR4Lhx5Pso23F59WeNwnAU02A0LuCJEvIwTsrla86bxi9pO2OkQVrH9di9PYrFf15xigKYpcJDw==" saltValue="YnKCJz/u1fky51FS8U05zA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65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x14ac:dyDescent="0.25">
      <c r="A9" s="1"/>
      <c r="B9" s="44" t="s">
        <v>34</v>
      </c>
      <c r="C9" s="7">
        <f>'Fane 3. Omkostninger i ØR2019'!E22</f>
        <v>100399637.8127961</v>
      </c>
      <c r="D9" s="8" t="s">
        <v>3</v>
      </c>
      <c r="E9" s="1"/>
    </row>
    <row r="10" spans="1:5" ht="17.100000000000001" customHeight="1" x14ac:dyDescent="0.25">
      <c r="A10" s="1"/>
      <c r="B10" s="32" t="s">
        <v>67</v>
      </c>
      <c r="C10" s="7">
        <f>'Fane 10.1. Varige tillæg'!C14</f>
        <v>0</v>
      </c>
      <c r="D10" s="8" t="s">
        <v>3</v>
      </c>
      <c r="E10" s="1"/>
    </row>
    <row r="11" spans="1:5" ht="17.100000000000001" customHeight="1" x14ac:dyDescent="0.25">
      <c r="A11" s="1"/>
      <c r="B11" s="32" t="s">
        <v>68</v>
      </c>
      <c r="C11" s="9">
        <f>'Fane 10.1. Varige tillæg'!E14</f>
        <v>45851.830200000004</v>
      </c>
      <c r="D11" s="8" t="s">
        <v>3</v>
      </c>
      <c r="E11" s="1"/>
    </row>
    <row r="12" spans="1:5" ht="17.100000000000001" customHeight="1" x14ac:dyDescent="0.2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2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25">
      <c r="A16" s="1"/>
      <c r="B16" s="32" t="s">
        <v>26</v>
      </c>
      <c r="C16" s="9">
        <f>C9*'Fane 14. Nøgletal'!C11+SUM(C10:C15)*'Fane 14. Nøgletal'!C12</f>
        <v>1697657.1600911941</v>
      </c>
      <c r="D16" s="8" t="s">
        <v>3</v>
      </c>
      <c r="E16" s="1"/>
    </row>
    <row r="17" spans="1:5" ht="17.100000000000001" customHeight="1" x14ac:dyDescent="0.25">
      <c r="A17" s="1"/>
      <c r="B17" s="32" t="s">
        <v>10</v>
      </c>
      <c r="C17" s="9">
        <f>-SUM(C9:C16)*'Fane 5. Individuelt eff. krav'!G10</f>
        <v>-917859.32862569066</v>
      </c>
      <c r="D17" s="8" t="s">
        <v>3</v>
      </c>
      <c r="E17" s="1"/>
    </row>
    <row r="18" spans="1:5" ht="17.100000000000001" customHeight="1" x14ac:dyDescent="0.25">
      <c r="A18" s="1"/>
      <c r="B18" s="32" t="s">
        <v>38</v>
      </c>
      <c r="C18" s="9">
        <f>-'Fane 4.1. Gen. krav - drift'!G26</f>
        <v>-1076661.431581123</v>
      </c>
      <c r="D18" s="8" t="s">
        <v>3</v>
      </c>
      <c r="E18" s="1"/>
    </row>
    <row r="19" spans="1:5" ht="17.100000000000001" customHeight="1" x14ac:dyDescent="0.25">
      <c r="A19" s="1"/>
      <c r="B19" s="32" t="s">
        <v>39</v>
      </c>
      <c r="C19" s="9">
        <f>-'Fane 4.2. Gen. krav - anlæg'!G25</f>
        <v>-432170.12148939469</v>
      </c>
      <c r="D19" s="8" t="s">
        <v>3</v>
      </c>
      <c r="E19" s="1"/>
    </row>
    <row r="20" spans="1:5" ht="17.100000000000001" customHeight="1" x14ac:dyDescent="0.25">
      <c r="A20" s="1"/>
      <c r="B20" s="50" t="s">
        <v>28</v>
      </c>
      <c r="C20" s="10">
        <f>SUM(C9:C19)</f>
        <v>99716455.921391085</v>
      </c>
      <c r="D20" s="11" t="s">
        <v>3</v>
      </c>
      <c r="E20" s="1"/>
    </row>
    <row r="21" spans="1:5" ht="15" customHeight="1" x14ac:dyDescent="0.25">
      <c r="A21" s="1"/>
      <c r="B21" s="39" t="s">
        <v>17</v>
      </c>
      <c r="C21" s="40"/>
      <c r="D21" s="22"/>
      <c r="E21" s="1"/>
    </row>
    <row r="22" spans="1:5" ht="15" customHeight="1" x14ac:dyDescent="0.25">
      <c r="A22" s="1"/>
      <c r="B22" s="41" t="s">
        <v>17</v>
      </c>
      <c r="C22" s="10">
        <f>'Fane 6. Ikke-påvirkelige omk.'!C15</f>
        <v>56456728.214326113</v>
      </c>
      <c r="D22" s="11" t="s">
        <v>3</v>
      </c>
      <c r="E22" s="1"/>
    </row>
    <row r="23" spans="1:5" ht="15" customHeight="1" x14ac:dyDescent="0.25">
      <c r="A23" s="1"/>
      <c r="B23" s="39" t="s">
        <v>142</v>
      </c>
      <c r="C23" s="40"/>
      <c r="D23" s="22"/>
      <c r="E23" s="1"/>
    </row>
    <row r="24" spans="1:5" ht="15" customHeight="1" x14ac:dyDescent="0.2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2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2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25">
      <c r="A27" s="1"/>
      <c r="B27" s="39" t="s">
        <v>11</v>
      </c>
      <c r="C27" s="40"/>
      <c r="D27" s="22"/>
      <c r="E27" s="1"/>
    </row>
    <row r="28" spans="1:5" ht="15" customHeight="1" x14ac:dyDescent="0.25">
      <c r="A28" s="1"/>
      <c r="B28" s="41" t="s">
        <v>19</v>
      </c>
      <c r="C28" s="10">
        <f>'Fane 13. Hist. over-underdæk.'!G14</f>
        <v>6885931.6666666679</v>
      </c>
      <c r="D28" s="11" t="s">
        <v>3</v>
      </c>
      <c r="E28" s="1"/>
    </row>
    <row r="29" spans="1:5" ht="15" customHeight="1" x14ac:dyDescent="0.25">
      <c r="A29" s="1"/>
      <c r="B29" s="39" t="s">
        <v>53</v>
      </c>
      <c r="C29" s="40"/>
      <c r="D29" s="22"/>
      <c r="E29" s="1"/>
    </row>
    <row r="30" spans="1:5" x14ac:dyDescent="0.25">
      <c r="A30" s="1"/>
      <c r="B30" s="41" t="s">
        <v>218</v>
      </c>
      <c r="C30" s="10">
        <f>'Fane 7. Kontrol af ØR2018'!E32</f>
        <v>342057.79654711112</v>
      </c>
      <c r="D30" s="11" t="s">
        <v>3</v>
      </c>
      <c r="E30" s="1"/>
    </row>
    <row r="31" spans="1:5" x14ac:dyDescent="0.25">
      <c r="A31" s="1"/>
      <c r="B31" s="39" t="s">
        <v>225</v>
      </c>
      <c r="C31" s="40"/>
      <c r="D31" s="22"/>
      <c r="E31" s="1"/>
    </row>
    <row r="32" spans="1:5" x14ac:dyDescent="0.2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25">
      <c r="A33" s="1"/>
      <c r="B33" s="39" t="s">
        <v>35</v>
      </c>
      <c r="C33" s="33">
        <f>SUM(C20,C22,C26,C28,C30,C32)</f>
        <v>163401173.59893098</v>
      </c>
      <c r="D33" s="22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6scWCXbKNL6G4zM1T4sO2194PGmtkLhsMIWjwNJUafcyPLUNSRyOXZZVz7d1zvaNSIc9VojIzfGyh2myGUwYAw==" saltValue="A975uLFK7CufGM5BupIJLg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1" style="2" customWidth="1"/>
    <col min="3" max="3" width="10.57031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85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9" t="s">
        <v>20</v>
      </c>
      <c r="C8" s="40"/>
      <c r="D8" s="22"/>
      <c r="E8" s="1"/>
    </row>
    <row r="9" spans="1:5" ht="15" customHeight="1" x14ac:dyDescent="0.25">
      <c r="A9" s="1"/>
      <c r="B9" s="44" t="s">
        <v>36</v>
      </c>
      <c r="C9" s="7">
        <f>'Fane 2.1. Økonomisk ramme 2020'!C20</f>
        <v>99716455.921391085</v>
      </c>
      <c r="D9" s="8" t="s">
        <v>3</v>
      </c>
      <c r="E9" s="1"/>
    </row>
    <row r="10" spans="1:5" ht="15" customHeight="1" x14ac:dyDescent="0.2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2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25">
      <c r="A12" s="1"/>
      <c r="B12" s="38" t="s">
        <v>26</v>
      </c>
      <c r="C12" s="9">
        <f>SUM(C9:C11)*'Fane 14. Nøgletal'!C12</f>
        <v>1964414.1816514044</v>
      </c>
      <c r="D12" s="8" t="s">
        <v>3</v>
      </c>
      <c r="E12" s="1"/>
    </row>
    <row r="13" spans="1:5" ht="15" customHeight="1" x14ac:dyDescent="0.25">
      <c r="A13" s="1"/>
      <c r="B13" s="38" t="s">
        <v>10</v>
      </c>
      <c r="C13" s="9">
        <f>-SUM(C9:C12)*'Fane 5. Individuelt eff. krav'!G10</f>
        <v>-913705.30562148057</v>
      </c>
      <c r="D13" s="8" t="s">
        <v>3</v>
      </c>
      <c r="E13" s="1"/>
    </row>
    <row r="14" spans="1:5" ht="15" customHeight="1" x14ac:dyDescent="0.25">
      <c r="A14" s="1"/>
      <c r="B14" s="38" t="s">
        <v>38</v>
      </c>
      <c r="C14" s="9">
        <f>-'Fane 4.1. Gen. krav - drift'!G32</f>
        <v>-1075914.2285476057</v>
      </c>
      <c r="D14" s="8" t="s">
        <v>3</v>
      </c>
      <c r="E14" s="1"/>
    </row>
    <row r="15" spans="1:5" ht="15" customHeight="1" x14ac:dyDescent="0.25">
      <c r="A15" s="1"/>
      <c r="B15" s="38" t="s">
        <v>39</v>
      </c>
      <c r="C15" s="9">
        <f>-'Fane 4.2. Gen. krav - anlæg'!G31</f>
        <v>-1422972.8672971162</v>
      </c>
      <c r="D15" s="8" t="s">
        <v>3</v>
      </c>
      <c r="E15" s="1"/>
    </row>
    <row r="16" spans="1:5" ht="15" customHeight="1" x14ac:dyDescent="0.25">
      <c r="A16" s="1"/>
      <c r="B16" s="45" t="s">
        <v>28</v>
      </c>
      <c r="C16" s="10">
        <f>SUM(C9:C15)</f>
        <v>98268277.701576293</v>
      </c>
      <c r="D16" s="11" t="s">
        <v>3</v>
      </c>
      <c r="E16" s="1"/>
    </row>
    <row r="17" spans="1:5" x14ac:dyDescent="0.25">
      <c r="A17" s="1"/>
      <c r="B17" s="39" t="s">
        <v>17</v>
      </c>
      <c r="C17" s="40"/>
      <c r="D17" s="22"/>
      <c r="E17" s="1"/>
    </row>
    <row r="18" spans="1:5" ht="15" customHeight="1" x14ac:dyDescent="0.25">
      <c r="A18" s="1"/>
      <c r="B18" s="41" t="s">
        <v>17</v>
      </c>
      <c r="C18" s="10">
        <f>'Fane 6. Ikke-påvirkelige omk.'!C15*(1+'Fane 14. Nøgletal'!C12)</f>
        <v>57568925.760148339</v>
      </c>
      <c r="D18" s="11" t="s">
        <v>3</v>
      </c>
      <c r="E18" s="1"/>
    </row>
    <row r="19" spans="1:5" ht="15" customHeight="1" x14ac:dyDescent="0.25">
      <c r="A19" s="1"/>
      <c r="B19" s="39" t="s">
        <v>142</v>
      </c>
      <c r="C19" s="40"/>
      <c r="D19" s="22"/>
      <c r="E19" s="1"/>
    </row>
    <row r="20" spans="1:5" ht="15" customHeight="1" x14ac:dyDescent="0.2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2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2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9" t="s">
        <v>160</v>
      </c>
      <c r="C23" s="40"/>
      <c r="D23" s="22"/>
      <c r="E23" s="1"/>
    </row>
    <row r="24" spans="1:5" ht="15" customHeight="1" x14ac:dyDescent="0.2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25">
      <c r="A25" s="1"/>
      <c r="B25" s="39" t="s">
        <v>44</v>
      </c>
      <c r="C25" s="12">
        <f>SUM(C16,C18,C22,C24)</f>
        <v>155837203.46172464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QYdgmS/5/V5yCJrzPJIi1MzTq/uSZVyLulzWCMUN/hTWWss0C5P4K82ez7uNDtWxuFefPcHMklJQ2Zq93F1zmw==" saltValue="L/HFtLYLqWqyGYrIP25j0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57031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193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36</v>
      </c>
      <c r="C8" s="7">
        <f>'Fane 2.2. Økonomisk ramme 2021'!C16</f>
        <v>98268277.701576293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SUM(C8:C10)*'Fane 14. Nøgletal'!C12</f>
        <v>1935885.0707210528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-900435.59892459039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drift'!G38</f>
        <v>-1075167.5440729938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anlæg'!G37</f>
        <v>-1409796.8784918361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96818762.750807926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Nøgletal'!C12)^2</f>
        <v>58703033.597623266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39" t="s">
        <v>160</v>
      </c>
      <c r="C22" s="40"/>
      <c r="D22" s="22"/>
      <c r="E22" s="1"/>
    </row>
    <row r="23" spans="1:5" ht="15" customHeight="1" x14ac:dyDescent="0.2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25">
      <c r="A24" s="1"/>
      <c r="B24" s="39" t="s">
        <v>45</v>
      </c>
      <c r="C24" s="12">
        <f>SUM(C15,C17,C21,C23)</f>
        <v>155521796.3484312</v>
      </c>
      <c r="D24" s="13" t="s">
        <v>3</v>
      </c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SCCXoCeUnP1xIPo/WklSR2kZGT8tTHGZk0zefVAQfRmA//oRdWFy5/oTjLMdX2lr6Yi5Oq3BcFUfDXGByXNtiQ==" saltValue="sByMxL7VAgnP+A/XUQk2l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7109375" style="2" customWidth="1"/>
    <col min="3" max="3" width="10.8554687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2" t="s">
        <v>194</v>
      </c>
      <c r="C3" s="72"/>
      <c r="D3" s="72"/>
      <c r="E3" s="1"/>
    </row>
    <row r="4" spans="1:5" ht="15" customHeight="1" x14ac:dyDescent="0.25">
      <c r="A4" s="1"/>
      <c r="B4" s="72"/>
      <c r="C4" s="72"/>
      <c r="D4" s="72"/>
      <c r="E4" s="1"/>
    </row>
    <row r="5" spans="1:5" x14ac:dyDescent="0.25">
      <c r="A5" s="1"/>
      <c r="B5" s="73" t="s">
        <v>29</v>
      </c>
      <c r="C5" s="73"/>
      <c r="D5" s="73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39" t="s">
        <v>20</v>
      </c>
      <c r="C7" s="40"/>
      <c r="D7" s="22"/>
      <c r="E7" s="1"/>
    </row>
    <row r="8" spans="1:5" ht="15" customHeight="1" x14ac:dyDescent="0.25">
      <c r="A8" s="1"/>
      <c r="B8" s="44" t="s">
        <v>37</v>
      </c>
      <c r="C8" s="7">
        <f>'Fane 2.3. Økonomisk ramme 2022'!C15</f>
        <v>96818762.750807926</v>
      </c>
      <c r="D8" s="8" t="s">
        <v>3</v>
      </c>
      <c r="E8" s="1"/>
    </row>
    <row r="9" spans="1:5" ht="15" customHeight="1" x14ac:dyDescent="0.2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25">
      <c r="A11" s="1"/>
      <c r="B11" s="38" t="s">
        <v>26</v>
      </c>
      <c r="C11" s="9">
        <f>C8*'Fane 14. Nøgletal'!C12</f>
        <v>1907329.6261909159</v>
      </c>
      <c r="D11" s="8" t="s">
        <v>3</v>
      </c>
      <c r="E11" s="1"/>
    </row>
    <row r="12" spans="1:5" ht="15" customHeight="1" x14ac:dyDescent="0.25">
      <c r="A12" s="1"/>
      <c r="B12" s="38" t="s">
        <v>10</v>
      </c>
      <c r="C12" s="9">
        <f>-SUM(C8:C11)*'Fane 5. Individuelt eff. krav'!G10</f>
        <v>-887153.6437161261</v>
      </c>
      <c r="D12" s="8" t="s">
        <v>3</v>
      </c>
      <c r="E12" s="1"/>
    </row>
    <row r="13" spans="1:5" ht="15" customHeight="1" x14ac:dyDescent="0.25">
      <c r="A13" s="1"/>
      <c r="B13" s="38" t="s">
        <v>38</v>
      </c>
      <c r="C13" s="9">
        <f>-'Fane 4.1. Gen. krav - drift'!G44</f>
        <v>-1074421.3777974073</v>
      </c>
      <c r="D13" s="8" t="s">
        <v>3</v>
      </c>
      <c r="E13" s="1"/>
    </row>
    <row r="14" spans="1:5" ht="15" customHeight="1" x14ac:dyDescent="0.25">
      <c r="A14" s="1"/>
      <c r="B14" s="38" t="s">
        <v>39</v>
      </c>
      <c r="C14" s="9">
        <f>-'Fane 4.2. Gen. krav - anlæg'!G43</f>
        <v>-1396742.8924913786</v>
      </c>
      <c r="D14" s="8" t="s">
        <v>3</v>
      </c>
      <c r="E14" s="1"/>
    </row>
    <row r="15" spans="1:5" x14ac:dyDescent="0.25">
      <c r="A15" s="1"/>
      <c r="B15" s="45" t="s">
        <v>28</v>
      </c>
      <c r="C15" s="10">
        <f>SUM(C8:C14)</f>
        <v>95367774.46299392</v>
      </c>
      <c r="D15" s="11" t="s">
        <v>3</v>
      </c>
      <c r="E15" s="1"/>
    </row>
    <row r="16" spans="1:5" x14ac:dyDescent="0.25">
      <c r="A16" s="1"/>
      <c r="B16" s="39" t="s">
        <v>17</v>
      </c>
      <c r="C16" s="40"/>
      <c r="D16" s="22"/>
      <c r="E16" s="1"/>
    </row>
    <row r="17" spans="1:5" ht="15" customHeight="1" x14ac:dyDescent="0.25">
      <c r="A17" s="1"/>
      <c r="B17" s="41" t="s">
        <v>17</v>
      </c>
      <c r="C17" s="10">
        <f>'Fane 6. Ikke-påvirkelige omk.'!C15*(1+'Fane 14. Nøgletal'!C12)^3</f>
        <v>59859483.359496437</v>
      </c>
      <c r="D17" s="11" t="s">
        <v>3</v>
      </c>
      <c r="E17" s="1"/>
    </row>
    <row r="18" spans="1:5" ht="15" customHeight="1" x14ac:dyDescent="0.25">
      <c r="A18" s="1"/>
      <c r="B18" s="39" t="s">
        <v>142</v>
      </c>
      <c r="C18" s="40"/>
      <c r="D18" s="22"/>
      <c r="E18" s="1"/>
    </row>
    <row r="19" spans="1:5" ht="15" customHeight="1" x14ac:dyDescent="0.2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2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2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39" t="s">
        <v>154</v>
      </c>
      <c r="C22" s="12">
        <f>SUM(C15,C17,C21)</f>
        <v>155227257.82249036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</sheetData>
  <sheetProtection algorithmName="SHA-512" hashValue="ud/bQyj7weIkzeEF2FEHhXi6463P1xmY2fTKK4OJcRMBNOuusgv1d2EXl8/yifDv24hoj+/Lmpfzg8XL8MWXow==" saltValue="FgaZZyptar/1c2K8noDM7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84</v>
      </c>
      <c r="C8" s="40"/>
      <c r="D8" s="40"/>
      <c r="E8" s="40"/>
      <c r="F8" s="22"/>
      <c r="G8" s="1"/>
    </row>
    <row r="9" spans="1:7" x14ac:dyDescent="0.25">
      <c r="A9" s="1"/>
      <c r="B9" s="90" t="s">
        <v>81</v>
      </c>
      <c r="C9" s="91"/>
      <c r="D9" s="92"/>
      <c r="E9" s="7">
        <v>109530971.09947756</v>
      </c>
      <c r="F9" s="8" t="s">
        <v>3</v>
      </c>
      <c r="G9" s="1"/>
    </row>
    <row r="10" spans="1:7" x14ac:dyDescent="0.25">
      <c r="A10" s="1"/>
      <c r="B10" s="90" t="s">
        <v>82</v>
      </c>
      <c r="C10" s="91"/>
      <c r="D10" s="92"/>
      <c r="E10" s="7">
        <v>-7824308.3555031233</v>
      </c>
      <c r="F10" s="8" t="s">
        <v>3</v>
      </c>
      <c r="G10" s="1"/>
    </row>
    <row r="11" spans="1:7" x14ac:dyDescent="0.25">
      <c r="A11" s="1"/>
      <c r="B11" s="90" t="s">
        <v>83</v>
      </c>
      <c r="C11" s="91"/>
      <c r="D11" s="92"/>
      <c r="E11" s="7">
        <v>-679244.26574478915</v>
      </c>
      <c r="F11" s="8" t="s">
        <v>3</v>
      </c>
      <c r="G11" s="1"/>
    </row>
    <row r="12" spans="1:7" x14ac:dyDescent="0.2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25">
      <c r="A13" s="1"/>
      <c r="B13" s="77" t="s">
        <v>68</v>
      </c>
      <c r="C13" s="78"/>
      <c r="D13" s="79"/>
      <c r="E13" s="9">
        <v>95069.980999999985</v>
      </c>
      <c r="F13" s="8" t="s">
        <v>3</v>
      </c>
      <c r="G13" s="1"/>
    </row>
    <row r="14" spans="1:7" x14ac:dyDescent="0.2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2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2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2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25">
      <c r="A18" s="1"/>
      <c r="B18" s="77" t="s">
        <v>26</v>
      </c>
      <c r="C18" s="78"/>
      <c r="D18" s="79"/>
      <c r="E18" s="9">
        <f>SUM(E9:E17)*'Fane 14. Nøgletal'!C11</f>
        <v>1708970.0549609808</v>
      </c>
      <c r="F18" s="8" t="s">
        <v>3</v>
      </c>
      <c r="G18" s="1"/>
    </row>
    <row r="19" spans="1:7" x14ac:dyDescent="0.25">
      <c r="A19" s="1"/>
      <c r="B19" s="77" t="s">
        <v>10</v>
      </c>
      <c r="C19" s="78"/>
      <c r="D19" s="79"/>
      <c r="E19" s="9">
        <f>-SUM(E9:E18)*'Fane 5. Individuelt eff. krav'!G10</f>
        <v>-924044.50447754143</v>
      </c>
      <c r="F19" s="8" t="s">
        <v>3</v>
      </c>
      <c r="G19" s="1"/>
    </row>
    <row r="20" spans="1:7" x14ac:dyDescent="0.25">
      <c r="A20" s="1"/>
      <c r="B20" s="77" t="s">
        <v>38</v>
      </c>
      <c r="C20" s="78"/>
      <c r="D20" s="79"/>
      <c r="E20" s="9">
        <f>-'Fane 4.1. Gen. krav - drift'!G20</f>
        <v>-1080375.7634558845</v>
      </c>
      <c r="F20" s="8" t="s">
        <v>3</v>
      </c>
      <c r="G20" s="1"/>
    </row>
    <row r="21" spans="1:7" x14ac:dyDescent="0.25">
      <c r="A21" s="1"/>
      <c r="B21" s="77" t="s">
        <v>39</v>
      </c>
      <c r="C21" s="78"/>
      <c r="D21" s="79"/>
      <c r="E21" s="9">
        <f>-'Fane 4.2. Gen. krav - anlæg'!G19</f>
        <v>-427400.43346110516</v>
      </c>
      <c r="F21" s="8" t="s">
        <v>3</v>
      </c>
      <c r="G21" s="1"/>
    </row>
    <row r="22" spans="1:7" x14ac:dyDescent="0.25">
      <c r="A22" s="1"/>
      <c r="B22" s="80" t="s">
        <v>28</v>
      </c>
      <c r="C22" s="81"/>
      <c r="D22" s="82"/>
      <c r="E22" s="10">
        <f>SUM(E9:E21)</f>
        <v>100399637.8127961</v>
      </c>
      <c r="F22" s="11" t="s">
        <v>3</v>
      </c>
      <c r="G22" s="1"/>
    </row>
    <row r="23" spans="1:7" x14ac:dyDescent="0.25">
      <c r="A23" s="1"/>
      <c r="B23" s="93" t="s">
        <v>17</v>
      </c>
      <c r="C23" s="94"/>
      <c r="D23" s="94"/>
      <c r="E23" s="40"/>
      <c r="F23" s="22"/>
      <c r="G23" s="1"/>
    </row>
    <row r="24" spans="1:7" x14ac:dyDescent="0.25">
      <c r="A24" s="1"/>
      <c r="B24" s="83" t="s">
        <v>17</v>
      </c>
      <c r="C24" s="84"/>
      <c r="D24" s="85"/>
      <c r="E24" s="10">
        <v>55188234.874020748</v>
      </c>
      <c r="F24" s="11" t="s">
        <v>3</v>
      </c>
      <c r="G24" s="1"/>
    </row>
    <row r="25" spans="1:7" x14ac:dyDescent="0.2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25">
      <c r="A26" s="1"/>
      <c r="B26" s="86" t="s">
        <v>132</v>
      </c>
      <c r="C26" s="87"/>
      <c r="D26" s="88"/>
      <c r="E26" s="10">
        <v>286531.84939528309</v>
      </c>
      <c r="F26" s="11" t="s">
        <v>3</v>
      </c>
      <c r="G26" s="1"/>
    </row>
    <row r="27" spans="1:7" x14ac:dyDescent="0.25">
      <c r="A27" s="1"/>
      <c r="B27" s="39" t="s">
        <v>11</v>
      </c>
      <c r="C27" s="40"/>
      <c r="D27" s="40"/>
      <c r="E27" s="40"/>
      <c r="F27" s="22"/>
      <c r="G27" s="1"/>
    </row>
    <row r="28" spans="1:7" x14ac:dyDescent="0.25">
      <c r="A28" s="1"/>
      <c r="B28" s="83" t="s">
        <v>19</v>
      </c>
      <c r="C28" s="84"/>
      <c r="D28" s="85"/>
      <c r="E28" s="10">
        <v>6885932</v>
      </c>
      <c r="F28" s="11" t="s">
        <v>3</v>
      </c>
      <c r="G28" s="1"/>
    </row>
    <row r="29" spans="1:7" x14ac:dyDescent="0.25">
      <c r="A29" s="1"/>
      <c r="B29" s="39" t="s">
        <v>160</v>
      </c>
      <c r="C29" s="40"/>
      <c r="D29" s="40"/>
      <c r="E29" s="40"/>
      <c r="F29" s="22"/>
      <c r="G29" s="1"/>
    </row>
    <row r="30" spans="1:7" x14ac:dyDescent="0.25">
      <c r="A30" s="1"/>
      <c r="B30" s="83" t="s">
        <v>131</v>
      </c>
      <c r="C30" s="84"/>
      <c r="D30" s="85"/>
      <c r="E30" s="10">
        <v>359907.09348863456</v>
      </c>
      <c r="F30" s="11" t="s">
        <v>3</v>
      </c>
      <c r="G30" s="1"/>
    </row>
    <row r="31" spans="1:7" x14ac:dyDescent="0.25">
      <c r="A31" s="1"/>
      <c r="B31" s="39" t="s">
        <v>23</v>
      </c>
      <c r="C31" s="40"/>
      <c r="D31" s="40"/>
      <c r="E31" s="12">
        <f>SUM(E28,E26,E24,E22,E30)</f>
        <v>163120243.62970078</v>
      </c>
      <c r="F31" s="13" t="s">
        <v>3</v>
      </c>
      <c r="G31" s="1"/>
    </row>
    <row r="32" spans="1:7" ht="28.15" customHeight="1" x14ac:dyDescent="0.25">
      <c r="A32" s="1"/>
      <c r="B32" s="74" t="s">
        <v>189</v>
      </c>
      <c r="C32" s="75"/>
      <c r="D32" s="75"/>
      <c r="E32" s="75"/>
      <c r="F32" s="76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fscOyiYhq13VrOD/18/7P45nH8pt7VbMf7TVpU/owk5+fvjEHH7rsQt5Xbvg+YtgdfNCRVqfmqGypnb7REcflw==" saltValue="GFNz8UckoB8+S2MhfnO9Tw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2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2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25">
      <c r="A6" s="1"/>
      <c r="B6" s="98" t="s">
        <v>86</v>
      </c>
      <c r="C6" s="99"/>
      <c r="D6" s="99"/>
      <c r="E6" s="99"/>
      <c r="F6" s="100"/>
      <c r="G6" s="26">
        <v>62662486</v>
      </c>
      <c r="H6" s="14" t="s">
        <v>3</v>
      </c>
      <c r="I6" s="1"/>
    </row>
    <row r="7" spans="1:9" x14ac:dyDescent="0.25">
      <c r="A7" s="1"/>
      <c r="B7" s="98" t="s">
        <v>87</v>
      </c>
      <c r="C7" s="99"/>
      <c r="D7" s="99"/>
      <c r="E7" s="99"/>
      <c r="F7" s="100"/>
      <c r="G7" s="26">
        <f>G6*'Fane 14. Nøgletal'!C25</f>
        <v>1253249.72</v>
      </c>
      <c r="H7" s="14" t="s">
        <v>3</v>
      </c>
      <c r="I7" s="1"/>
    </row>
    <row r="8" spans="1:9" x14ac:dyDescent="0.2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25">
      <c r="A9" s="1"/>
      <c r="B9" s="1"/>
      <c r="C9" s="1"/>
      <c r="D9" s="1"/>
      <c r="E9" s="1"/>
      <c r="F9" s="1"/>
      <c r="G9" s="1"/>
      <c r="H9" s="1"/>
      <c r="I9" s="1"/>
    </row>
    <row r="10" spans="1:9" x14ac:dyDescent="0.2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2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62189133.580755994</v>
      </c>
      <c r="H11" s="14" t="s">
        <v>3</v>
      </c>
      <c r="I11" s="1"/>
    </row>
    <row r="12" spans="1:9" x14ac:dyDescent="0.2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2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1243782.6716151198</v>
      </c>
      <c r="H13" s="14" t="s">
        <v>3</v>
      </c>
      <c r="I13" s="1"/>
    </row>
    <row r="14" spans="1:9" x14ac:dyDescent="0.2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2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61975327.339505345</v>
      </c>
      <c r="H17" s="14" t="s">
        <v>3</v>
      </c>
      <c r="I17" s="1"/>
    </row>
    <row r="18" spans="1:9" x14ac:dyDescent="0.25">
      <c r="A18" s="1"/>
      <c r="B18" s="98" t="s">
        <v>222</v>
      </c>
      <c r="C18" s="99"/>
      <c r="D18" s="99"/>
      <c r="E18" s="99"/>
      <c r="F18" s="100"/>
      <c r="G18" s="26">
        <v>-7956539.1667111255</v>
      </c>
      <c r="H18" s="14" t="s">
        <v>3</v>
      </c>
      <c r="I18" s="1"/>
    </row>
    <row r="19" spans="1:9" x14ac:dyDescent="0.2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2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1080375.7634558845</v>
      </c>
      <c r="H20" s="14" t="s">
        <v>3</v>
      </c>
      <c r="I20" s="1"/>
    </row>
    <row r="21" spans="1:9" x14ac:dyDescent="0.2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2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53833071.579056151</v>
      </c>
      <c r="H24" s="14" t="s">
        <v>3</v>
      </c>
      <c r="I24" s="1"/>
    </row>
    <row r="25" spans="1:9" x14ac:dyDescent="0.2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2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1076661.431581123</v>
      </c>
      <c r="H26" s="14" t="s">
        <v>3</v>
      </c>
      <c r="I26" s="1"/>
    </row>
    <row r="27" spans="1:9" x14ac:dyDescent="0.2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2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53795711.427380286</v>
      </c>
      <c r="H30" s="14" t="s">
        <v>3</v>
      </c>
      <c r="I30" s="1"/>
    </row>
    <row r="31" spans="1:9" x14ac:dyDescent="0.2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2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1075914.2285476057</v>
      </c>
      <c r="H32" s="14" t="s">
        <v>3</v>
      </c>
      <c r="I32" s="1"/>
    </row>
    <row r="33" spans="1:9" x14ac:dyDescent="0.2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2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53758377.203649692</v>
      </c>
      <c r="H36" s="14" t="s">
        <v>3</v>
      </c>
      <c r="I36" s="1"/>
    </row>
    <row r="37" spans="1:9" x14ac:dyDescent="0.2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2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1075167.5440729938</v>
      </c>
      <c r="H38" s="14" t="s">
        <v>3</v>
      </c>
      <c r="I38" s="1"/>
    </row>
    <row r="39" spans="1:9" x14ac:dyDescent="0.2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2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53721068.88987036</v>
      </c>
      <c r="H42" s="14" t="s">
        <v>3</v>
      </c>
      <c r="I42" s="1"/>
    </row>
    <row r="43" spans="1:9" x14ac:dyDescent="0.2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2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1074421.3777974073</v>
      </c>
      <c r="H44" s="14" t="s">
        <v>3</v>
      </c>
      <c r="I44" s="1"/>
    </row>
    <row r="45" spans="1:9" x14ac:dyDescent="0.2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jhQtFqIKIJ2qP70FTSdTQ6V8xMjn36ljDaaabSuGMHrI0YA/cqKT5aVK66eqJ10NBSqESE03od73Mo5aekZbQ==" saltValue="uIA/VhdJRipm3vVlwliwLw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8.75" x14ac:dyDescent="0.3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.75" x14ac:dyDescent="0.3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2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25">
      <c r="A5" s="1"/>
      <c r="B5" s="98" t="s">
        <v>106</v>
      </c>
      <c r="C5" s="99"/>
      <c r="D5" s="99"/>
      <c r="E5" s="99"/>
      <c r="F5" s="100"/>
      <c r="G5" s="26">
        <v>49171908.551089495</v>
      </c>
      <c r="H5" s="14" t="s">
        <v>3</v>
      </c>
      <c r="I5" s="1"/>
    </row>
    <row r="6" spans="1:9" x14ac:dyDescent="0.25">
      <c r="A6" s="1"/>
      <c r="B6" s="98" t="s">
        <v>102</v>
      </c>
      <c r="C6" s="99"/>
      <c r="D6" s="99"/>
      <c r="E6" s="99"/>
      <c r="F6" s="100"/>
      <c r="G6" s="26">
        <f>G5*'Fane 14. Nøgletal'!C17</f>
        <v>447464.36781491444</v>
      </c>
      <c r="H6" s="14" t="s">
        <v>3</v>
      </c>
      <c r="I6" s="1"/>
    </row>
    <row r="7" spans="1:9" x14ac:dyDescent="0.2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2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49343244.624402165</v>
      </c>
      <c r="H10" s="14" t="s">
        <v>3</v>
      </c>
      <c r="I10" s="1"/>
    </row>
    <row r="11" spans="1:9" x14ac:dyDescent="0.2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2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449023.52608205972</v>
      </c>
      <c r="H12" s="14" t="s">
        <v>3</v>
      </c>
      <c r="I12" s="1"/>
    </row>
    <row r="13" spans="1:9" x14ac:dyDescent="0.2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2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49720533.43488171</v>
      </c>
      <c r="H16" s="14" t="s">
        <v>3</v>
      </c>
      <c r="I16" s="1"/>
    </row>
    <row r="17" spans="1:9" x14ac:dyDescent="0.25">
      <c r="A17" s="1"/>
      <c r="B17" s="98" t="s">
        <v>223</v>
      </c>
      <c r="C17" s="99"/>
      <c r="D17" s="99"/>
      <c r="E17" s="99"/>
      <c r="F17" s="100"/>
      <c r="G17" s="26">
        <v>-690723.493835876</v>
      </c>
      <c r="H17" s="14" t="s">
        <v>3</v>
      </c>
      <c r="I17" s="1"/>
    </row>
    <row r="18" spans="1:9" x14ac:dyDescent="0.25">
      <c r="A18" s="1"/>
      <c r="B18" s="101" t="s">
        <v>113</v>
      </c>
      <c r="C18" s="102"/>
      <c r="D18" s="102"/>
      <c r="E18" s="102"/>
      <c r="F18" s="103"/>
      <c r="G18" s="26">
        <v>96676.663678899975</v>
      </c>
      <c r="H18" s="14" t="s">
        <v>3</v>
      </c>
      <c r="I18" s="1"/>
    </row>
    <row r="19" spans="1:9" x14ac:dyDescent="0.2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427400.43346110516</v>
      </c>
      <c r="H19" s="14" t="s">
        <v>3</v>
      </c>
      <c r="I19" s="1"/>
    </row>
    <row r="20" spans="1:9" x14ac:dyDescent="0.2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2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49522100.72755798</v>
      </c>
      <c r="H23" s="14" t="s">
        <v>3</v>
      </c>
      <c r="I23" s="1"/>
    </row>
    <row r="24" spans="1:9" x14ac:dyDescent="0.2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46755.111254940006</v>
      </c>
      <c r="H24" s="14" t="s">
        <v>3</v>
      </c>
      <c r="I24" s="1"/>
    </row>
    <row r="25" spans="1:9" x14ac:dyDescent="0.2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432170.12148939469</v>
      </c>
      <c r="H25" s="14" t="s">
        <v>3</v>
      </c>
      <c r="I25" s="1"/>
    </row>
    <row r="26" spans="1:9" x14ac:dyDescent="0.2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2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50104678.425954796</v>
      </c>
      <c r="H29" s="14" t="s">
        <v>3</v>
      </c>
      <c r="I29" s="1"/>
    </row>
    <row r="30" spans="1:9" x14ac:dyDescent="0.2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2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1422972.8672971162</v>
      </c>
      <c r="H31" s="14" t="s">
        <v>3</v>
      </c>
      <c r="I31" s="1"/>
    </row>
    <row r="32" spans="1:9" x14ac:dyDescent="0.2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2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49640735.158163242</v>
      </c>
      <c r="H35" s="14" t="s">
        <v>3</v>
      </c>
      <c r="I35" s="1"/>
    </row>
    <row r="36" spans="1:9" x14ac:dyDescent="0.2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2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1409796.8784918361</v>
      </c>
      <c r="H37" s="14" t="s">
        <v>3</v>
      </c>
      <c r="I37" s="1"/>
    </row>
    <row r="38" spans="1:9" x14ac:dyDescent="0.2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2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49181087.763780937</v>
      </c>
      <c r="H41" s="14" t="s">
        <v>3</v>
      </c>
      <c r="I41" s="1"/>
    </row>
    <row r="42" spans="1:9" x14ac:dyDescent="0.2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2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1396742.8924913786</v>
      </c>
      <c r="H43" s="14" t="s">
        <v>3</v>
      </c>
      <c r="I43" s="1"/>
    </row>
    <row r="44" spans="1:9" x14ac:dyDescent="0.2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RMv4E6eI+8NrCzqElXeIWi2iPr5j0DqvZ5PeKQhDvd0YZrDZvH25OW55ToF3nZTp6yWSmW7gY5LyVqDWc0k+lg==" saltValue="zwkIak5r2IFi+/9zEv+KTQ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2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25">
      <c r="A9" s="1"/>
      <c r="B9" s="98" t="s">
        <v>178</v>
      </c>
      <c r="C9" s="99"/>
      <c r="D9" s="99"/>
      <c r="E9" s="99"/>
      <c r="F9" s="100"/>
      <c r="G9" s="25">
        <v>1.5918542213555643E-3</v>
      </c>
      <c r="H9" s="14"/>
      <c r="I9" s="1"/>
    </row>
    <row r="10" spans="1:9" x14ac:dyDescent="0.25">
      <c r="A10" s="1"/>
      <c r="B10" s="98" t="s">
        <v>179</v>
      </c>
      <c r="C10" s="99"/>
      <c r="D10" s="99"/>
      <c r="E10" s="99"/>
      <c r="F10" s="100"/>
      <c r="G10" s="25">
        <v>8.9860099023104326E-3</v>
      </c>
      <c r="H10" s="14"/>
      <c r="I10" s="1"/>
    </row>
    <row r="11" spans="1:9" x14ac:dyDescent="0.2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yBdKPlpYlvhMRva9XmZQiPwDh/XT2cuTyxclzN0BeKwhKK249F/WsX/iNueV7mHWNWexR49ptwo1LCF9d1tblQ==" saltValue="UBt3Fndao5tvxz7KlZ/xN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2019-09-04T09:06:16Z</dcterms:modified>
</cp:coreProperties>
</file>