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Lemvig Vand &amp; Spildevand AS (V120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2" i="11" l="1"/>
  <c r="E11" i="11"/>
  <c r="E13" i="11" l="1"/>
  <c r="E14" i="11"/>
  <c r="E10" i="11"/>
  <c r="E18" i="32" l="1"/>
  <c r="E9" i="32"/>
  <c r="E32" i="32" l="1"/>
  <c r="E9" i="40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C22" i="39" s="1"/>
  <c r="C20" i="15" s="1"/>
  <c r="E13" i="39"/>
  <c r="E12" i="39"/>
  <c r="E14" i="39" s="1"/>
  <c r="C25" i="2" s="1"/>
  <c r="E29" i="39"/>
  <c r="E28" i="39"/>
  <c r="E30" i="39" s="1"/>
  <c r="C20" i="22" s="1"/>
  <c r="C37" i="39"/>
  <c r="C36" i="39"/>
  <c r="E21" i="39"/>
  <c r="E20" i="39"/>
  <c r="E37" i="39"/>
  <c r="E36" i="39"/>
  <c r="C38" i="39" l="1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15" i="11" l="1"/>
  <c r="C10" i="37" s="1"/>
  <c r="C11" i="37" s="1"/>
  <c r="C12" i="37" s="1"/>
  <c r="C10" i="2" s="1"/>
  <c r="G15" i="11"/>
  <c r="E11" i="21" l="1"/>
  <c r="C11" i="21"/>
  <c r="E11" i="29"/>
  <c r="C11" i="29"/>
  <c r="C15" i="19"/>
  <c r="C16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5" i="11"/>
  <c r="E10" i="37" s="1"/>
  <c r="E11" i="37" s="1"/>
  <c r="E12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<sst xmlns="http://schemas.openxmlformats.org/spreadsheetml/2006/main" count="601" uniqueCount="247">
  <si>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</si>
  <si>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</si>
  <si>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</si>
  <si>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</si>
  <si>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</si>
  <si>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</si>
  <si>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</si>
  <si>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</si>
  <si>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</si>
  <si>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</si>
  <si>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</si>
  <si>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</si>
  <si>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</si>
  <si>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</si>
  <si>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</si>
  <si>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</si>
  <si>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</si>
  <si>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</si>
  <si>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</si>
  <si>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</si>
  <si>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</si>
  <si>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</si>
  <si>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</si>
  <si>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</si>
  <si>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</si>
  <si>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</si>
  <si>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</si>
  <si>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</si>
  <si>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</si>
  <si>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</si>
  <si>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</si>
  <si>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</si>
  <si>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</si>
  <si>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</si>
  <si>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</si>
  <si>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</si>
  <si>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</si>
  <si>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</si>
  <si>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</si>
  <si>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</si>
  <si>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</si>
  <si>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</si>
  <si>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</si>
  <si>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</si>
  <si>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</si>
  <si>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</si>
  <si>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</si>
  <si>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</si>
  <si>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</si>
  <si>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</si>
  <si>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</si>
  <si>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</si>
  <si>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</si>
  <si>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</si>
  <si>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</si>
  <si>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</si>
  <si>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</si>
  <si>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</si>
  <si>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</si>
  <si>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</si>
  <si>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</si>
  <si>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</si>
  <si>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</si>
  <si>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</si>
  <si>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</si>
  <si>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</si>
  <si>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</si>
  <si>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</si>
  <si>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</si>
  <si>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</si>
  <si>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</si>
  <si>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</si>
  <si>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</si>
  <si>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</si>
  <si>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</si>
  <si>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</si>
  <si>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</si>
  <si>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</si>
  <si>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</si>
  <si>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</si>
  <si>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</si>
  <si>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</si>
  <si>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</si>
  <si>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</si>
  <si>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</si>
  <si>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</si>
  <si>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</si>
  <si>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</si>
  <si>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</si>
  <si>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</si>
  <si>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</si>
  <si>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</si>
  <si>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</si>
  <si>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</si>
  <si>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</si>
  <si>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</si>
  <si>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</si>
  <si>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</si>
  <si>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</si>
  <si>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</si>
  <si>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</si>
  <si>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</si>
  <si>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</si>
  <si>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</si>
  <si>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</si>
  <si>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</si>
  <si>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</si>
  <si>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</si>
  <si>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</si>
  <si>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</si>
  <si>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</si>
  <si>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</si>
  <si>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</si>
  <si>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</si>
  <si>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</si>
  <si>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</si>
  <si>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</si>
  <si>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</si>
  <si>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</si>
  <si>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</si>
  <si>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</si>
  <si>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</si>
  <si>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</si>
  <si>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</si>
  <si>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</si>
  <si>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</si>
  <si>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</si>
  <si>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</si>
  <si>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</si>
  <si>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</si>
  <si>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</si>
  <si>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</si>
  <si>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</si>
  <si>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</si>
  <si>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</si>
  <si>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</si>
  <si>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</si>
  <si>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</si>
  <si>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</si>
  <si>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</si>
  <si>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</si>
  <si>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</si>
  <si>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</si>
  <si>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</si>
  <si>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</si>
  <si>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</si>
  <si>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</si>
  <si>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</si>
  <si>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</si>
  <si>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</si>
  <si>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</si>
  <si>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</si>
  <si>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</si>
  <si>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</si>
  <si>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</si>
  <si>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</si>
  <si>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</si>
  <si>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</si>
  <si>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</si>
  <si>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</si>
  <si>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</si>
  <si>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</si>
  <si>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</si>
  <si>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</si>
  <si>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</si>
  <si>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</si>
  <si>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</si>
  <si>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</si>
  <si>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</si>
  <si>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</si>
  <si>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</si>
  <si>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</si>
  <si>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</si>
  <si>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</si>
  <si>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</si>
  <si>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</si>
  <si>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</si>
  <si>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</si>
  <si>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</si>
  <si>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</si>
  <si>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</si>
  <si>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</si>
  <si>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</si>
  <si>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</si>
  <si>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</si>
  <si>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</si>
  <si>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</si>
  <si>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</si>
  <si>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</si>
  <si>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</si>
  <si>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</si>
  <si>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</si>
  <si>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</si>
  <si>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</si>
  <si>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</si>
  <si>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</si>
  <si>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</si>
  <si>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</si>
  <si>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</si>
  <si>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</si>
  <si>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</si>
  <si>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</si>
  <si>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</si>
  <si>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</si>
  <si>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</si>
  <si>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</si>
  <si>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</si>
  <si>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</si>
  <si>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</si>
  <si>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</si>
  <si>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</si>
  <si>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</si>
  <si>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</si>
  <si>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</si>
  <si>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</si>
  <si>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</si>
  <si>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</si>
  <si>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</si>
  <si>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</si>
  <si>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</si>
  <si>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</si>
  <si>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</si>
  <si>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</si>
  <si>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</si>
  <si>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</si>
  <si>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</si>
  <si>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</si>
  <si>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</si>
  <si>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</si>
  <si>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</si>
  <si>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</si>
  <si>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</si>
  <si>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</si>
  <si>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</si>
  <si>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</si>
  <si>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Afgift til Forsyningssekretariatet</t>
  </si>
  <si>
    <t>Ejendomsskat</t>
  </si>
  <si>
    <t>Tjenestemandspensioner</t>
  </si>
  <si>
    <t>Erstatninger</t>
  </si>
  <si>
    <t>Ingen engangstillæg</t>
  </si>
  <si>
    <t>SRO-brønd/kvarterbrønd/sektionsbrønd, SRO</t>
  </si>
  <si>
    <t>Ø 50mm &lt; Ledningsnet ≤ Ø110 mm</t>
  </si>
  <si>
    <t>Ventiler på Ø 50mm &lt; Ledningsnet ≤ Ø110 mm</t>
  </si>
  <si>
    <t>Afregningsmålere, mekaniske</t>
  </si>
  <si>
    <t>Anlægsprojekter igangsat senest 1. marts 2016</t>
  </si>
  <si>
    <t>Til indregning i den økonomiske ramme for 2020</t>
  </si>
  <si>
    <t>Tillæg/fradrag i den økonomiske ramme for 2020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</si>
</sst>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/>
      <sheetData sheetId="3"/>
      <sheetData sheetId="4"/>
      <sheetData sheetId="5">
        <row r="5">
          <cell r="C5">
            <v>1.0168999999999999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6" t="s">
        <v>4</v>
      </c>
      <c r="E6" s="66"/>
      <c r="F6" s="66"/>
      <c r="G6" s="66"/>
      <c r="H6" s="3"/>
      <c r="I6" s="1"/>
    </row>
    <row r="7" spans="1:9" ht="15" customHeight="1" x14ac:dyDescent="0.45">
      <c r="A7" s="1"/>
      <c r="B7" s="1"/>
      <c r="C7" s="3"/>
      <c r="D7" s="66"/>
      <c r="E7" s="66"/>
      <c r="F7" s="66"/>
      <c r="G7" s="66"/>
      <c r="H7" s="3"/>
      <c r="I7" s="1"/>
    </row>
    <row r="8" spans="1:9" ht="15.75" x14ac:dyDescent="0.5">
      <c r="A8" s="1"/>
      <c r="B8" s="1"/>
      <c r="C8" s="4"/>
      <c r="D8" s="68" t="s">
        <v>192</v>
      </c>
      <c r="E8" s="68"/>
      <c r="F8" s="68"/>
      <c r="G8" s="68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3" t="s">
        <v>56</v>
      </c>
      <c r="E13" s="64"/>
      <c r="F13" s="64"/>
      <c r="G13" s="65"/>
      <c r="H13" s="1"/>
      <c r="I13" s="1"/>
    </row>
    <row r="14" spans="1:9" x14ac:dyDescent="0.45">
      <c r="A14" s="1"/>
      <c r="B14" s="1"/>
      <c r="C14" s="6" t="s">
        <v>22</v>
      </c>
      <c r="D14" s="63" t="s">
        <v>177</v>
      </c>
      <c r="E14" s="64"/>
      <c r="F14" s="64"/>
      <c r="G14" s="65"/>
      <c r="H14" s="1"/>
      <c r="I14" s="1"/>
    </row>
    <row r="15" spans="1:9" x14ac:dyDescent="0.45">
      <c r="A15" s="1"/>
      <c r="B15" s="1"/>
      <c r="C15" s="6" t="s">
        <v>55</v>
      </c>
      <c r="D15" s="63" t="s">
        <v>133</v>
      </c>
      <c r="E15" s="64"/>
      <c r="F15" s="64"/>
      <c r="G15" s="65"/>
      <c r="H15" s="1"/>
      <c r="I15" s="1"/>
    </row>
    <row r="16" spans="1:9" x14ac:dyDescent="0.45">
      <c r="A16" s="1"/>
      <c r="B16" s="1"/>
      <c r="C16" s="6" t="s">
        <v>57</v>
      </c>
      <c r="D16" s="63" t="s">
        <v>134</v>
      </c>
      <c r="E16" s="64"/>
      <c r="F16" s="64"/>
      <c r="G16" s="65"/>
      <c r="H16" s="1"/>
      <c r="I16" s="1"/>
    </row>
    <row r="17" spans="1:9" x14ac:dyDescent="0.45">
      <c r="A17" s="1"/>
      <c r="B17" s="1"/>
      <c r="C17" s="6" t="s">
        <v>224</v>
      </c>
      <c r="D17" s="63" t="s">
        <v>66</v>
      </c>
      <c r="E17" s="64"/>
      <c r="F17" s="64"/>
      <c r="G17" s="65"/>
      <c r="H17" s="1"/>
      <c r="I17" s="1"/>
    </row>
    <row r="18" spans="1:9" x14ac:dyDescent="0.45">
      <c r="A18" s="1"/>
      <c r="B18" s="1"/>
      <c r="C18" s="34" t="s">
        <v>196</v>
      </c>
      <c r="D18" s="69" t="s">
        <v>162</v>
      </c>
      <c r="E18" s="70"/>
      <c r="F18" s="70"/>
      <c r="G18" s="71"/>
      <c r="H18" s="1"/>
      <c r="I18" s="1"/>
    </row>
    <row r="19" spans="1:9" x14ac:dyDescent="0.45">
      <c r="A19" s="1"/>
      <c r="B19" s="1"/>
      <c r="C19" s="34" t="s">
        <v>197</v>
      </c>
      <c r="D19" s="69" t="s">
        <v>163</v>
      </c>
      <c r="E19" s="70"/>
      <c r="F19" s="70"/>
      <c r="G19" s="71"/>
      <c r="H19" s="1"/>
      <c r="I19" s="1"/>
    </row>
    <row r="20" spans="1:9" x14ac:dyDescent="0.45">
      <c r="A20" s="1"/>
      <c r="B20" s="1"/>
      <c r="C20" s="34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45">
      <c r="A21" s="1"/>
      <c r="B21" s="1"/>
      <c r="C21" s="6" t="s">
        <v>198</v>
      </c>
      <c r="D21" s="60" t="s">
        <v>17</v>
      </c>
      <c r="E21" s="61"/>
      <c r="F21" s="61"/>
      <c r="G21" s="62"/>
      <c r="H21" s="1"/>
      <c r="I21" s="1"/>
    </row>
    <row r="22" spans="1:9" x14ac:dyDescent="0.45">
      <c r="A22" s="1"/>
      <c r="B22" s="1"/>
      <c r="C22" s="6" t="s">
        <v>140</v>
      </c>
      <c r="D22" s="54" t="s">
        <v>161</v>
      </c>
      <c r="E22" s="55"/>
      <c r="F22" s="55"/>
      <c r="G22" s="56"/>
      <c r="H22" s="1"/>
      <c r="I22" s="1"/>
    </row>
    <row r="23" spans="1:9" x14ac:dyDescent="0.45">
      <c r="A23" s="1"/>
      <c r="B23" s="1"/>
      <c r="C23" s="6" t="s">
        <v>8</v>
      </c>
      <c r="D23" s="54" t="s">
        <v>225</v>
      </c>
      <c r="E23" s="55"/>
      <c r="F23" s="55"/>
      <c r="G23" s="56"/>
      <c r="H23" s="1"/>
      <c r="I23" s="1"/>
    </row>
    <row r="24" spans="1:9" x14ac:dyDescent="0.45">
      <c r="A24" s="1"/>
      <c r="B24" s="1"/>
      <c r="C24" s="6" t="s">
        <v>9</v>
      </c>
      <c r="D24" s="54" t="s">
        <v>58</v>
      </c>
      <c r="E24" s="55"/>
      <c r="F24" s="55"/>
      <c r="G24" s="56"/>
      <c r="H24" s="1"/>
      <c r="I24" s="1"/>
    </row>
    <row r="25" spans="1:9" x14ac:dyDescent="0.45">
      <c r="A25" s="1"/>
      <c r="B25" s="1"/>
      <c r="C25" s="6" t="s">
        <v>199</v>
      </c>
      <c r="D25" s="54" t="s">
        <v>141</v>
      </c>
      <c r="E25" s="55"/>
      <c r="F25" s="55"/>
      <c r="G25" s="56"/>
      <c r="H25" s="1"/>
      <c r="I25" s="1"/>
    </row>
    <row r="26" spans="1:9" x14ac:dyDescent="0.45">
      <c r="A26" s="1"/>
      <c r="B26" s="1"/>
      <c r="C26" s="6" t="s">
        <v>200</v>
      </c>
      <c r="D26" s="54" t="s">
        <v>142</v>
      </c>
      <c r="E26" s="55"/>
      <c r="F26" s="55"/>
      <c r="G26" s="56"/>
      <c r="H26" s="1"/>
      <c r="I26" s="1"/>
    </row>
    <row r="27" spans="1:9" x14ac:dyDescent="0.45">
      <c r="A27" s="1"/>
      <c r="B27" s="1"/>
      <c r="C27" s="6" t="s">
        <v>201</v>
      </c>
      <c r="D27" s="54" t="s">
        <v>59</v>
      </c>
      <c r="E27" s="55"/>
      <c r="F27" s="55"/>
      <c r="G27" s="56"/>
      <c r="H27" s="1"/>
      <c r="I27" s="1"/>
    </row>
    <row r="28" spans="1:9" x14ac:dyDescent="0.45">
      <c r="A28" s="1"/>
      <c r="B28" s="1"/>
      <c r="C28" s="6" t="s">
        <v>183</v>
      </c>
      <c r="D28" s="54" t="s">
        <v>60</v>
      </c>
      <c r="E28" s="55"/>
      <c r="F28" s="55"/>
      <c r="G28" s="56"/>
      <c r="H28" s="1"/>
      <c r="I28" s="1"/>
    </row>
    <row r="29" spans="1:9" x14ac:dyDescent="0.45">
      <c r="A29" s="1"/>
      <c r="B29" s="1"/>
      <c r="C29" s="6" t="s">
        <v>61</v>
      </c>
      <c r="D29" s="51" t="s">
        <v>11</v>
      </c>
      <c r="E29" s="52"/>
      <c r="F29" s="52"/>
      <c r="G29" s="53"/>
      <c r="H29" s="1"/>
      <c r="I29" s="1"/>
    </row>
    <row r="30" spans="1:9" x14ac:dyDescent="0.45">
      <c r="A30" s="1"/>
      <c r="B30" s="1"/>
      <c r="C30" s="6" t="s">
        <v>62</v>
      </c>
      <c r="D30" s="57" t="s">
        <v>184</v>
      </c>
      <c r="E30" s="58"/>
      <c r="F30" s="58"/>
      <c r="G30" s="59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6iFsDSWoR9ARilp9VMOdNfOnu+pimb+Yox+ptUtGD5cbAu8909OBomCnLxKucVjOuGiqcLhAlRb4Gu/qzHlHgA==" saltValue="lSYB3tbEQnmTWa42rzmhYg==" spinCount="100000" sheet="1" objects="1" scenarios="1"/>
  <mergeCells count="21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2" t="s">
        <v>204</v>
      </c>
      <c r="C3" s="72"/>
      <c r="D3" s="72"/>
      <c r="E3" s="1"/>
      <c r="F3" s="1"/>
    </row>
    <row r="4" spans="1:6" ht="15" customHeight="1" x14ac:dyDescent="0.45">
      <c r="A4" s="1"/>
      <c r="B4" s="72"/>
      <c r="C4" s="72"/>
      <c r="D4" s="7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5" t="s">
        <v>69</v>
      </c>
      <c r="C8" s="96"/>
      <c r="D8" s="97"/>
      <c r="E8" s="1"/>
      <c r="F8" s="1"/>
    </row>
    <row r="9" spans="1:6" ht="15" customHeight="1" x14ac:dyDescent="0.45">
      <c r="A9" s="1"/>
      <c r="B9" s="39" t="s">
        <v>48</v>
      </c>
      <c r="C9" s="11" t="s">
        <v>70</v>
      </c>
      <c r="D9" s="11"/>
      <c r="E9" s="1"/>
      <c r="F9" s="1"/>
    </row>
    <row r="10" spans="1:6" x14ac:dyDescent="0.45">
      <c r="A10" s="1"/>
      <c r="B10" s="48" t="s">
        <v>234</v>
      </c>
      <c r="C10" s="9">
        <v>11795317</v>
      </c>
      <c r="D10" s="14" t="s">
        <v>3</v>
      </c>
      <c r="E10" s="1"/>
      <c r="F10" s="1"/>
    </row>
    <row r="11" spans="1:6" x14ac:dyDescent="0.45">
      <c r="A11" s="1"/>
      <c r="B11" s="48" t="s">
        <v>235</v>
      </c>
      <c r="C11" s="9">
        <v>32070</v>
      </c>
      <c r="D11" s="14" t="s">
        <v>3</v>
      </c>
      <c r="E11" s="1"/>
      <c r="F11" s="1"/>
    </row>
    <row r="12" spans="1:6" x14ac:dyDescent="0.45">
      <c r="A12" s="1"/>
      <c r="B12" s="48" t="s">
        <v>236</v>
      </c>
      <c r="C12" s="9">
        <v>32923</v>
      </c>
      <c r="D12" s="14" t="s">
        <v>3</v>
      </c>
      <c r="E12" s="1"/>
      <c r="F12" s="1"/>
    </row>
    <row r="13" spans="1:6" x14ac:dyDescent="0.45">
      <c r="A13" s="1"/>
      <c r="B13" s="48" t="s">
        <v>237</v>
      </c>
      <c r="C13" s="9">
        <v>17500</v>
      </c>
      <c r="D13" s="14" t="s">
        <v>3</v>
      </c>
      <c r="E13" s="1"/>
      <c r="F13" s="1"/>
    </row>
    <row r="14" spans="1:6" x14ac:dyDescent="0.45">
      <c r="A14" s="1"/>
      <c r="B14" s="48" t="s">
        <v>238</v>
      </c>
      <c r="C14" s="9">
        <v>349671.59</v>
      </c>
      <c r="D14" s="14" t="s">
        <v>3</v>
      </c>
      <c r="E14" s="1"/>
      <c r="F14" s="1"/>
    </row>
    <row r="15" spans="1:6" x14ac:dyDescent="0.45">
      <c r="A15" s="1"/>
      <c r="B15" s="46" t="s">
        <v>71</v>
      </c>
      <c r="C15" s="12">
        <f>SUM(C10:C14)</f>
        <v>12227481.59</v>
      </c>
      <c r="D15" s="13" t="s">
        <v>3</v>
      </c>
      <c r="E15" s="1"/>
      <c r="F15" s="1"/>
    </row>
    <row r="16" spans="1:6" x14ac:dyDescent="0.45">
      <c r="A16" s="1"/>
      <c r="B16" s="46" t="s">
        <v>72</v>
      </c>
      <c r="C16" s="12">
        <f>C15*(1+'Fane 14. Nøgletal'!C12)^2</f>
        <v>12713989.727976264</v>
      </c>
      <c r="D16" s="13" t="s">
        <v>3</v>
      </c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jb1/NVL/rzKdVKPbYvzvNFsFidxDF6qtJCU5SA8KM8CEJbw68PM7XeNXmhM6Qhe/0xksIyi4CrgdWUchWoTWMA==" saltValue="Xb6H7qCVn0EfM4os3hzoX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2" t="s">
        <v>205</v>
      </c>
      <c r="C3" s="82"/>
      <c r="D3" s="82"/>
      <c r="E3" s="82"/>
      <c r="F3" s="82"/>
      <c r="G3" s="1"/>
    </row>
    <row r="4" spans="1:7" ht="15" customHeight="1" x14ac:dyDescent="0.45">
      <c r="A4" s="1"/>
      <c r="B4" s="82"/>
      <c r="C4" s="82"/>
      <c r="D4" s="82"/>
      <c r="E4" s="82"/>
      <c r="F4" s="82"/>
      <c r="G4" s="1"/>
    </row>
    <row r="5" spans="1:7" ht="15" customHeight="1" x14ac:dyDescent="0.45">
      <c r="A5" s="1"/>
      <c r="B5" s="44"/>
      <c r="C5" s="44"/>
      <c r="D5" s="44"/>
      <c r="E5" s="44"/>
      <c r="F5" s="44"/>
      <c r="G5" s="1"/>
    </row>
    <row r="6" spans="1:7" ht="15" customHeight="1" x14ac:dyDescent="0.45">
      <c r="A6" s="1"/>
      <c r="B6" s="95" t="s">
        <v>52</v>
      </c>
      <c r="C6" s="96"/>
      <c r="D6" s="96"/>
      <c r="E6" s="96"/>
      <c r="F6" s="97"/>
      <c r="G6" s="1"/>
    </row>
    <row r="7" spans="1:7" ht="15" customHeight="1" x14ac:dyDescent="0.45">
      <c r="A7" s="1"/>
      <c r="B7" s="98" t="s">
        <v>50</v>
      </c>
      <c r="C7" s="99"/>
      <c r="D7" s="100"/>
      <c r="E7" s="9">
        <v>-1239562.6583333344</v>
      </c>
      <c r="F7" s="14" t="s">
        <v>3</v>
      </c>
      <c r="G7" s="1"/>
    </row>
    <row r="8" spans="1:7" ht="15" customHeight="1" x14ac:dyDescent="0.45">
      <c r="A8" s="1"/>
      <c r="B8" s="98" t="s">
        <v>51</v>
      </c>
      <c r="C8" s="99"/>
      <c r="D8" s="100"/>
      <c r="E8" s="9">
        <v>0</v>
      </c>
      <c r="F8" s="14" t="s">
        <v>3</v>
      </c>
      <c r="G8" s="1"/>
    </row>
    <row r="9" spans="1:7" ht="15" customHeight="1" x14ac:dyDescent="0.45">
      <c r="A9" s="1"/>
      <c r="B9" s="106" t="s">
        <v>186</v>
      </c>
      <c r="C9" s="107"/>
      <c r="D9" s="108"/>
      <c r="E9" s="10">
        <f>SUM(E7:E8)</f>
        <v>-1239562.6583333344</v>
      </c>
      <c r="F9" s="17" t="s">
        <v>3</v>
      </c>
      <c r="G9" s="1"/>
    </row>
    <row r="10" spans="1:7" ht="15" customHeight="1" x14ac:dyDescent="0.45">
      <c r="A10" s="1"/>
      <c r="B10" s="46"/>
      <c r="C10" s="47"/>
      <c r="D10" s="47"/>
      <c r="E10" s="47"/>
      <c r="F10" s="22"/>
      <c r="G10" s="1"/>
    </row>
    <row r="11" spans="1:7" ht="28.5" customHeight="1" x14ac:dyDescent="0.45">
      <c r="A11" s="1"/>
      <c r="B11" s="86" t="s">
        <v>188</v>
      </c>
      <c r="C11" s="87"/>
      <c r="D11" s="87"/>
      <c r="E11" s="87"/>
      <c r="F11" s="88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5" t="s">
        <v>165</v>
      </c>
      <c r="C14" s="96"/>
      <c r="D14" s="96"/>
      <c r="E14" s="96"/>
      <c r="F14" s="97"/>
      <c r="G14" s="1"/>
    </row>
    <row r="15" spans="1:7" x14ac:dyDescent="0.45">
      <c r="A15" s="1"/>
      <c r="B15" s="98" t="s">
        <v>166</v>
      </c>
      <c r="C15" s="99"/>
      <c r="D15" s="100"/>
      <c r="E15" s="9">
        <v>35363612.071755022</v>
      </c>
      <c r="F15" s="14" t="s">
        <v>3</v>
      </c>
      <c r="G15" s="1"/>
    </row>
    <row r="16" spans="1:7" x14ac:dyDescent="0.45">
      <c r="A16" s="1"/>
      <c r="B16" s="98" t="s">
        <v>167</v>
      </c>
      <c r="C16" s="99"/>
      <c r="D16" s="100"/>
      <c r="E16" s="9">
        <v>26707859</v>
      </c>
      <c r="F16" s="14" t="s">
        <v>3</v>
      </c>
      <c r="G16" s="1"/>
    </row>
    <row r="17" spans="1:7" x14ac:dyDescent="0.45">
      <c r="A17" s="1"/>
      <c r="B17" s="98" t="s">
        <v>49</v>
      </c>
      <c r="C17" s="99"/>
      <c r="D17" s="100"/>
      <c r="E17" s="9">
        <v>0</v>
      </c>
      <c r="F17" s="14" t="s">
        <v>3</v>
      </c>
      <c r="G17" s="1"/>
    </row>
    <row r="18" spans="1:7" x14ac:dyDescent="0.45">
      <c r="A18" s="1"/>
      <c r="B18" s="106" t="s">
        <v>187</v>
      </c>
      <c r="C18" s="107"/>
      <c r="D18" s="108"/>
      <c r="E18" s="10">
        <f>E15-(E16-E17)</f>
        <v>8655753.0717550218</v>
      </c>
      <c r="F18" s="17" t="s">
        <v>3</v>
      </c>
      <c r="G18" s="1"/>
    </row>
    <row r="19" spans="1:7" x14ac:dyDescent="0.45">
      <c r="A19" s="1"/>
      <c r="B19" s="46"/>
      <c r="C19" s="47"/>
      <c r="D19" s="47"/>
      <c r="E19" s="47"/>
      <c r="F19" s="22"/>
      <c r="G19" s="1"/>
    </row>
    <row r="20" spans="1:7" ht="30" customHeight="1" x14ac:dyDescent="0.45">
      <c r="A20" s="1"/>
      <c r="B20" s="86" t="s">
        <v>189</v>
      </c>
      <c r="C20" s="87"/>
      <c r="D20" s="87"/>
      <c r="E20" s="87"/>
      <c r="F20" s="88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95" t="s">
        <v>77</v>
      </c>
      <c r="C23" s="96"/>
      <c r="D23" s="96"/>
      <c r="E23" s="96"/>
      <c r="F23" s="97"/>
      <c r="G23" s="1"/>
    </row>
    <row r="24" spans="1:7" x14ac:dyDescent="0.45">
      <c r="A24" s="1"/>
      <c r="B24" s="98" t="s">
        <v>78</v>
      </c>
      <c r="C24" s="99"/>
      <c r="D24" s="100"/>
      <c r="E24" s="9">
        <v>30970696.493191451</v>
      </c>
      <c r="F24" s="14" t="s">
        <v>3</v>
      </c>
      <c r="G24" s="1"/>
    </row>
    <row r="25" spans="1:7" x14ac:dyDescent="0.45">
      <c r="A25" s="1"/>
      <c r="B25" s="98" t="s">
        <v>79</v>
      </c>
      <c r="C25" s="99"/>
      <c r="D25" s="100"/>
      <c r="E25" s="9">
        <v>26515544</v>
      </c>
      <c r="F25" s="14" t="s">
        <v>3</v>
      </c>
      <c r="G25" s="1"/>
    </row>
    <row r="26" spans="1:7" x14ac:dyDescent="0.45">
      <c r="A26" s="1"/>
      <c r="B26" s="98" t="s">
        <v>49</v>
      </c>
      <c r="C26" s="99"/>
      <c r="D26" s="100"/>
      <c r="E26" s="9">
        <v>0</v>
      </c>
      <c r="F26" s="14" t="s">
        <v>3</v>
      </c>
      <c r="G26" s="1"/>
    </row>
    <row r="27" spans="1:7" x14ac:dyDescent="0.45">
      <c r="A27" s="1"/>
      <c r="B27" s="106" t="s">
        <v>187</v>
      </c>
      <c r="C27" s="107"/>
      <c r="D27" s="108"/>
      <c r="E27" s="10">
        <f>E24-(E25-E26)</f>
        <v>4455152.4931914508</v>
      </c>
      <c r="F27" s="17" t="s">
        <v>3</v>
      </c>
      <c r="G27" s="1"/>
    </row>
    <row r="28" spans="1:7" x14ac:dyDescent="0.45">
      <c r="A28" s="1"/>
      <c r="B28" s="46"/>
      <c r="C28" s="47"/>
      <c r="D28" s="47"/>
      <c r="E28" s="47"/>
      <c r="F28" s="22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95" t="s">
        <v>245</v>
      </c>
      <c r="C31" s="96"/>
      <c r="D31" s="96"/>
      <c r="E31" s="96"/>
      <c r="F31" s="97"/>
      <c r="G31" s="1"/>
    </row>
    <row r="32" spans="1:7" x14ac:dyDescent="0.45">
      <c r="A32" s="1"/>
      <c r="B32" s="106" t="s">
        <v>246</v>
      </c>
      <c r="C32" s="107"/>
      <c r="D32" s="108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0</v>
      </c>
      <c r="F32" s="17" t="s">
        <v>3</v>
      </c>
      <c r="G32" s="1"/>
    </row>
    <row r="33" spans="1:7" x14ac:dyDescent="0.45">
      <c r="A33" s="1"/>
      <c r="B33" s="95"/>
      <c r="C33" s="96"/>
      <c r="D33" s="96"/>
      <c r="E33" s="96"/>
      <c r="F33" s="97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95" t="s">
        <v>180</v>
      </c>
      <c r="C36" s="96"/>
      <c r="D36" s="96"/>
      <c r="E36" s="96"/>
      <c r="F36" s="97"/>
      <c r="G36" s="1"/>
    </row>
    <row r="37" spans="1:7" x14ac:dyDescent="0.45">
      <c r="A37" s="1"/>
      <c r="B37" s="109" t="s">
        <v>53</v>
      </c>
      <c r="C37" s="110"/>
      <c r="D37" s="111"/>
      <c r="E37" s="9">
        <f>IF(AND(E9&gt;0,E18&gt;0),IF(E18+E27&gt;=0,0,IF(E18+E27&lt;0,E18+E27,0)),IF(AND(E9&lt;0,E18&gt;0,ABS(E9)&lt;ABS(E18)),IF(E9+E18+E27&gt;=0,0,IF(E9+E18+E27&lt;0,E9+E18+E27,0)),IF(E27&gt;=0,0,E27)))</f>
        <v>0</v>
      </c>
      <c r="F37" s="14" t="s">
        <v>3</v>
      </c>
      <c r="G37" s="1"/>
    </row>
    <row r="38" spans="1:7" x14ac:dyDescent="0.45">
      <c r="A38" s="1"/>
      <c r="B38" s="109" t="s">
        <v>185</v>
      </c>
      <c r="C38" s="110"/>
      <c r="D38" s="111"/>
      <c r="E38" s="9">
        <v>2</v>
      </c>
      <c r="F38" s="14" t="s">
        <v>27</v>
      </c>
      <c r="G38" s="1"/>
    </row>
    <row r="39" spans="1:7" ht="15" customHeight="1" x14ac:dyDescent="0.45">
      <c r="A39" s="1"/>
      <c r="B39" s="106" t="s">
        <v>227</v>
      </c>
      <c r="C39" s="107"/>
      <c r="D39" s="108"/>
      <c r="E39" s="10">
        <f>E37/E38</f>
        <v>0</v>
      </c>
      <c r="F39" s="17" t="s">
        <v>3</v>
      </c>
      <c r="G39" s="1"/>
    </row>
    <row r="40" spans="1:7" x14ac:dyDescent="0.45">
      <c r="A40" s="1"/>
      <c r="B40" s="95"/>
      <c r="C40" s="96"/>
      <c r="D40" s="96"/>
      <c r="E40" s="96"/>
      <c r="F40" s="97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</sheetData>
  <sheetProtection algorithmName="SHA-512" hashValue="gwTGeIAtyfK+jIxdq1hicKJ+xYbcW1NCY0AA4Kx78SCh9tuB7DhamMWeey6SH6QWIgMtpt9D6E/7Cz0AfsGl0g==" saltValue="dPVCzC8L+SEUXcEr7tBMTA==" spinCount="100000" sheet="1" objects="1" scenarios="1"/>
  <mergeCells count="25"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13281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2" t="s">
        <v>228</v>
      </c>
      <c r="C3" s="82"/>
      <c r="D3" s="82"/>
      <c r="E3" s="82"/>
      <c r="F3" s="82"/>
      <c r="G3" s="1"/>
    </row>
    <row r="4" spans="1:7" ht="15" customHeight="1" x14ac:dyDescent="0.45">
      <c r="A4" s="1"/>
      <c r="B4" s="82"/>
      <c r="C4" s="82"/>
      <c r="D4" s="82"/>
      <c r="E4" s="82"/>
      <c r="F4" s="8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159</v>
      </c>
      <c r="C8" s="96"/>
      <c r="D8" s="96"/>
      <c r="E8" s="96"/>
      <c r="F8" s="96"/>
      <c r="G8" s="1"/>
    </row>
    <row r="9" spans="1:7" ht="29.25" customHeight="1" x14ac:dyDescent="0.45">
      <c r="A9" s="1"/>
      <c r="B9" s="92" t="s">
        <v>164</v>
      </c>
      <c r="C9" s="93"/>
      <c r="D9" s="94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45">
      <c r="A10" s="1"/>
      <c r="B10" s="46" t="s">
        <v>175</v>
      </c>
      <c r="C10" s="47"/>
      <c r="D10" s="47"/>
      <c r="E10" s="12">
        <f>E9</f>
        <v>0</v>
      </c>
      <c r="F10" s="13" t="s">
        <v>3</v>
      </c>
      <c r="G10" s="1"/>
    </row>
    <row r="11" spans="1:7" x14ac:dyDescent="0.45">
      <c r="A11" s="1"/>
      <c r="B11" s="1"/>
      <c r="C11" s="1"/>
      <c r="D11" s="1"/>
      <c r="E11" s="1"/>
      <c r="F11" s="1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F5Xw+K9H7HU4lJ61TxxPSPwz4ZJyZdGkj+bMwgSNpevGz8rYdzdylni3E5uuKRZ5PsYcby79dYyjSD9cQslVjw==" saltValue="rS+1rylEsVF3Ao7oZSzOP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229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230</v>
      </c>
      <c r="C8" s="96"/>
      <c r="D8" s="96"/>
      <c r="E8" s="96"/>
      <c r="F8" s="96"/>
      <c r="G8" s="96"/>
      <c r="H8" s="97"/>
      <c r="I8" s="1"/>
    </row>
    <row r="9" spans="1:9" ht="39.75" customHeight="1" x14ac:dyDescent="0.4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1"/>
      <c r="I9" s="1"/>
    </row>
    <row r="10" spans="1:9" ht="39.75" x14ac:dyDescent="0.45">
      <c r="A10" s="1"/>
      <c r="B10" s="115" t="s">
        <v>240</v>
      </c>
      <c r="C10" s="116">
        <v>10</v>
      </c>
      <c r="D10" s="9">
        <v>59236</v>
      </c>
      <c r="E10" s="9">
        <f>IFERROR(D10/C10,0)</f>
        <v>5923.6</v>
      </c>
      <c r="F10" s="9">
        <v>0</v>
      </c>
      <c r="G10" s="9">
        <v>0</v>
      </c>
      <c r="H10" s="14" t="s">
        <v>3</v>
      </c>
      <c r="I10" s="1"/>
    </row>
    <row r="11" spans="1:9" ht="26.65" x14ac:dyDescent="0.45">
      <c r="A11" s="1"/>
      <c r="B11" s="115" t="s">
        <v>241</v>
      </c>
      <c r="C11" s="116">
        <v>75</v>
      </c>
      <c r="D11" s="9">
        <v>473890</v>
      </c>
      <c r="E11" s="9">
        <f t="shared" ref="E11:E12" si="0">IFERROR(D11/C11,0)</f>
        <v>6318.5333333333338</v>
      </c>
      <c r="F11" s="9">
        <v>0</v>
      </c>
      <c r="G11" s="9">
        <v>0</v>
      </c>
      <c r="H11" s="14" t="s">
        <v>3</v>
      </c>
      <c r="I11" s="1"/>
    </row>
    <row r="12" spans="1:9" ht="26.65" x14ac:dyDescent="0.45">
      <c r="A12" s="1"/>
      <c r="B12" s="115" t="s">
        <v>242</v>
      </c>
      <c r="C12" s="116">
        <v>75</v>
      </c>
      <c r="D12" s="9">
        <v>59236</v>
      </c>
      <c r="E12" s="9">
        <f t="shared" si="0"/>
        <v>789.81333333333339</v>
      </c>
      <c r="F12" s="9">
        <v>0</v>
      </c>
      <c r="G12" s="9">
        <v>0</v>
      </c>
      <c r="H12" s="14" t="s">
        <v>3</v>
      </c>
      <c r="I12" s="1"/>
    </row>
    <row r="13" spans="1:9" x14ac:dyDescent="0.45">
      <c r="A13" s="1"/>
      <c r="B13" s="115" t="s">
        <v>243</v>
      </c>
      <c r="C13" s="116">
        <v>8</v>
      </c>
      <c r="D13" s="9">
        <v>1076701</v>
      </c>
      <c r="E13" s="9">
        <f t="shared" ref="E13:E14" si="1">IFERROR(D13/C13,0)</f>
        <v>134587.625</v>
      </c>
      <c r="F13" s="9">
        <v>0</v>
      </c>
      <c r="G13" s="9">
        <v>0</v>
      </c>
      <c r="H13" s="14" t="s">
        <v>3</v>
      </c>
      <c r="I13" s="1"/>
    </row>
    <row r="14" spans="1:9" ht="26.65" x14ac:dyDescent="0.45">
      <c r="A14" s="1"/>
      <c r="B14" s="115" t="s">
        <v>241</v>
      </c>
      <c r="C14" s="116">
        <v>75</v>
      </c>
      <c r="D14" s="9">
        <v>678387</v>
      </c>
      <c r="E14" s="9">
        <f t="shared" si="1"/>
        <v>9045.16</v>
      </c>
      <c r="F14" s="9">
        <v>0</v>
      </c>
      <c r="G14" s="9">
        <v>0</v>
      </c>
      <c r="H14" s="14" t="s">
        <v>3</v>
      </c>
      <c r="I14" s="1"/>
    </row>
    <row r="15" spans="1:9" x14ac:dyDescent="0.45">
      <c r="A15" s="1"/>
      <c r="B15" s="95" t="s">
        <v>231</v>
      </c>
      <c r="C15" s="96"/>
      <c r="D15" s="97"/>
      <c r="E15" s="12">
        <f>SUM(E10:E14)</f>
        <v>156664.73166666666</v>
      </c>
      <c r="F15" s="12">
        <f>SUM(F10:F14)</f>
        <v>0</v>
      </c>
      <c r="G15" s="12">
        <f>SUM(G10:G14)</f>
        <v>0</v>
      </c>
      <c r="H15" s="13" t="s">
        <v>3</v>
      </c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2:8" x14ac:dyDescent="0.45">
      <c r="B49" s="1"/>
      <c r="C49" s="1"/>
      <c r="D49" s="1"/>
      <c r="E49" s="1"/>
      <c r="F49" s="1"/>
      <c r="G49" s="1"/>
      <c r="H49" s="1"/>
    </row>
    <row r="50" spans="2:8" x14ac:dyDescent="0.45">
      <c r="B50" s="1"/>
      <c r="C50" s="1"/>
      <c r="D50" s="1"/>
      <c r="E50" s="1"/>
      <c r="F50" s="1"/>
      <c r="G50" s="1"/>
      <c r="H50" s="1"/>
    </row>
  </sheetData>
  <sheetProtection algorithmName="SHA-512" hashValue="BcxcZODmPXpJs26TEWVRT/3cEK1A5QlK3m4SmfDxcyZfMRa/WYvU9S4ev7FJnI8O5T1NNJ4nq288rjVfPfJNeA==" saltValue="wWhr73NFbu+FE1plAHXQAA==" spinCount="100000" sheet="1" objects="1" scenarios="1"/>
  <mergeCells count="3">
    <mergeCell ref="B3:H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3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206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6" t="s">
        <v>137</v>
      </c>
      <c r="C8" s="47"/>
      <c r="D8" s="47"/>
      <c r="E8" s="47"/>
      <c r="F8" s="22"/>
      <c r="G8" s="1"/>
    </row>
    <row r="9" spans="1:7" ht="17.25" customHeight="1" x14ac:dyDescent="0.45">
      <c r="A9" s="1"/>
      <c r="B9" s="42" t="s">
        <v>24</v>
      </c>
      <c r="C9" s="42" t="s">
        <v>16</v>
      </c>
      <c r="D9" s="43"/>
      <c r="E9" s="42" t="s">
        <v>47</v>
      </c>
      <c r="F9" s="41"/>
      <c r="G9" s="1"/>
    </row>
    <row r="10" spans="1:7" x14ac:dyDescent="0.45">
      <c r="A10" s="1"/>
      <c r="B10" s="27" t="s">
        <v>244</v>
      </c>
      <c r="C10" s="24">
        <f>'Fane 9. Anlægsprojekter'!F15</f>
        <v>0</v>
      </c>
      <c r="D10" s="14" t="s">
        <v>3</v>
      </c>
      <c r="E10" s="9">
        <f>SUM('Fane 9. Anlægsprojekter'!E15,'Fane 9. Anlægsprojekter'!G15)</f>
        <v>156664.73166666666</v>
      </c>
      <c r="F10" s="14" t="s">
        <v>3</v>
      </c>
      <c r="G10" s="1"/>
    </row>
    <row r="11" spans="1:7" x14ac:dyDescent="0.45">
      <c r="A11" s="1"/>
      <c r="B11" s="46" t="s">
        <v>63</v>
      </c>
      <c r="C11" s="12">
        <f>SUM(C10:C10)</f>
        <v>0</v>
      </c>
      <c r="D11" s="13" t="s">
        <v>3</v>
      </c>
      <c r="E11" s="12">
        <f>SUM(E10:E10)</f>
        <v>156664.73166666666</v>
      </c>
      <c r="F11" s="13" t="s">
        <v>3</v>
      </c>
      <c r="G11" s="1"/>
    </row>
    <row r="12" spans="1:7" x14ac:dyDescent="0.45">
      <c r="A12" s="1"/>
      <c r="B12" s="46" t="s">
        <v>74</v>
      </c>
      <c r="C12" s="12">
        <f>C11*(1+'Fane 14. Nøgletal'!C12)</f>
        <v>0</v>
      </c>
      <c r="D12" s="13" t="s">
        <v>3</v>
      </c>
      <c r="E12" s="12">
        <f>E11*(1+'Fane 14. Nøgletal'!C12)</f>
        <v>159751.02688049999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</sheetData>
  <sheetProtection algorithmName="SHA-512" hashValue="4fGbr6QvUyve17JIoCDB3wzOBmjGL/GFPQ4W9S715L+kM0u4Sm918WpsoyfrBRh24Uv0g6NuFVl9nPN7F4JWVg==" saltValue="EwFaxjY3e0M1k83qx6aF9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207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168</v>
      </c>
      <c r="C8" s="96"/>
      <c r="D8" s="96"/>
      <c r="E8" s="96"/>
      <c r="F8" s="97"/>
      <c r="G8" s="1"/>
    </row>
    <row r="9" spans="1:7" x14ac:dyDescent="0.45">
      <c r="A9" s="1"/>
      <c r="B9" s="42" t="s">
        <v>24</v>
      </c>
      <c r="C9" s="42" t="s">
        <v>16</v>
      </c>
      <c r="D9" s="43"/>
      <c r="E9" s="42" t="s">
        <v>47</v>
      </c>
      <c r="F9" s="41"/>
      <c r="G9" s="1"/>
    </row>
    <row r="10" spans="1:7" x14ac:dyDescent="0.45">
      <c r="A10" s="1"/>
      <c r="B10" s="27" t="s">
        <v>239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6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4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45">
      <c r="A14" s="1"/>
      <c r="B14" s="46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5" t="s">
        <v>169</v>
      </c>
      <c r="C16" s="96"/>
      <c r="D16" s="96"/>
      <c r="E16" s="96"/>
      <c r="F16" s="97"/>
      <c r="G16" s="1"/>
    </row>
    <row r="17" spans="1:7" x14ac:dyDescent="0.45">
      <c r="A17" s="1"/>
      <c r="B17" s="42" t="s">
        <v>24</v>
      </c>
      <c r="C17" s="42" t="s">
        <v>16</v>
      </c>
      <c r="D17" s="43"/>
      <c r="E17" s="42" t="s">
        <v>47</v>
      </c>
      <c r="F17" s="41"/>
      <c r="G17" s="1"/>
    </row>
    <row r="18" spans="1:7" x14ac:dyDescent="0.45">
      <c r="A18" s="1"/>
      <c r="B18" s="27" t="s">
        <v>239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46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4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45">
      <c r="A22" s="1"/>
      <c r="B22" s="46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5" t="s">
        <v>170</v>
      </c>
      <c r="C24" s="96"/>
      <c r="D24" s="96"/>
      <c r="E24" s="96"/>
      <c r="F24" s="97"/>
      <c r="G24" s="1"/>
    </row>
    <row r="25" spans="1:7" x14ac:dyDescent="0.45">
      <c r="A25" s="1"/>
      <c r="B25" s="42" t="s">
        <v>24</v>
      </c>
      <c r="C25" s="42" t="s">
        <v>16</v>
      </c>
      <c r="D25" s="43"/>
      <c r="E25" s="42" t="s">
        <v>47</v>
      </c>
      <c r="F25" s="41"/>
      <c r="G25" s="1"/>
    </row>
    <row r="26" spans="1:7" x14ac:dyDescent="0.45">
      <c r="A26" s="1"/>
      <c r="B26" s="27" t="s">
        <v>239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46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4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45">
      <c r="A30" s="1"/>
      <c r="B30" s="46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5" t="s">
        <v>171</v>
      </c>
      <c r="C32" s="96"/>
      <c r="D32" s="96"/>
      <c r="E32" s="96"/>
      <c r="F32" s="97"/>
      <c r="G32" s="1"/>
    </row>
    <row r="33" spans="1:7" x14ac:dyDescent="0.45">
      <c r="A33" s="1"/>
      <c r="B33" s="42" t="s">
        <v>24</v>
      </c>
      <c r="C33" s="42" t="s">
        <v>16</v>
      </c>
      <c r="D33" s="43"/>
      <c r="E33" s="42" t="s">
        <v>47</v>
      </c>
      <c r="F33" s="41"/>
      <c r="G33" s="1"/>
    </row>
    <row r="34" spans="1:7" x14ac:dyDescent="0.45">
      <c r="A34" s="1"/>
      <c r="B34" s="27" t="s">
        <v>239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46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4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45">
      <c r="A38" s="1"/>
      <c r="B38" s="46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XRh8WPn8JharFKuO1hMZ6hKL3IhfPVeGHgyrQH2jg1647MjCSosd4BwKOfz2W0mB/Mckz3ZMdJskiXPa8XsI/g==" saltValue="ky5EkqQSiJY1ZUGNmZLB4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2" t="s">
        <v>208</v>
      </c>
      <c r="C3" s="82"/>
      <c r="D3" s="82"/>
      <c r="E3" s="82"/>
      <c r="F3" s="82"/>
      <c r="G3" s="1"/>
    </row>
    <row r="4" spans="1:7" ht="25.5" customHeight="1" x14ac:dyDescent="0.45">
      <c r="A4" s="1"/>
      <c r="B4" s="82"/>
      <c r="C4" s="82"/>
      <c r="D4" s="82"/>
      <c r="E4" s="82"/>
      <c r="F4" s="8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31</v>
      </c>
      <c r="C8" s="96"/>
      <c r="D8" s="96"/>
      <c r="E8" s="96"/>
      <c r="F8" s="97"/>
      <c r="G8" s="1"/>
    </row>
    <row r="9" spans="1:7" ht="15" customHeight="1" x14ac:dyDescent="0.45">
      <c r="A9" s="1"/>
      <c r="B9" s="40" t="s">
        <v>32</v>
      </c>
      <c r="C9" s="92" t="s">
        <v>16</v>
      </c>
      <c r="D9" s="94"/>
      <c r="E9" s="92" t="s">
        <v>47</v>
      </c>
      <c r="F9" s="94"/>
      <c r="G9" s="1"/>
    </row>
    <row r="10" spans="1:7" x14ac:dyDescent="0.4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</sheetData>
  <sheetProtection algorithmName="SHA-512" hashValue="TbL5RN1B1gsN908FZ2hGq1DwcDaHiqGunK5xT3hjzrk4htcMITIHx4ykwGQHBdRBv/SK4sDZP5SDgTS1WNKhFQ==" saltValue="TR0iFmMBI2GPgmZ/7ZGGI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2" t="s">
        <v>209</v>
      </c>
      <c r="C3" s="82"/>
      <c r="D3" s="82"/>
      <c r="E3" s="82"/>
      <c r="F3" s="82"/>
      <c r="G3" s="1"/>
    </row>
    <row r="4" spans="1:7" ht="25.5" customHeight="1" x14ac:dyDescent="0.45">
      <c r="A4" s="1"/>
      <c r="B4" s="82"/>
      <c r="C4" s="82"/>
      <c r="D4" s="82"/>
      <c r="E4" s="82"/>
      <c r="F4" s="8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45">
      <c r="A9" s="1"/>
      <c r="B9" s="40" t="s">
        <v>25</v>
      </c>
      <c r="C9" s="40" t="s">
        <v>16</v>
      </c>
      <c r="D9" s="41"/>
      <c r="E9" s="40" t="s">
        <v>47</v>
      </c>
      <c r="F9" s="41"/>
      <c r="G9" s="1"/>
    </row>
    <row r="10" spans="1:7" x14ac:dyDescent="0.4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6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6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5" t="s">
        <v>157</v>
      </c>
      <c r="C15" s="96"/>
      <c r="D15" s="96"/>
      <c r="E15" s="96"/>
      <c r="F15" s="97"/>
      <c r="G15" s="1"/>
    </row>
    <row r="16" spans="1:7" x14ac:dyDescent="0.45">
      <c r="A16" s="1"/>
      <c r="B16" s="40" t="s">
        <v>25</v>
      </c>
      <c r="C16" s="40" t="s">
        <v>16</v>
      </c>
      <c r="D16" s="41"/>
      <c r="E16" s="40" t="s">
        <v>47</v>
      </c>
      <c r="F16" s="41"/>
      <c r="G16" s="1"/>
    </row>
    <row r="17" spans="1:7" x14ac:dyDescent="0.4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46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46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5" t="s">
        <v>155</v>
      </c>
      <c r="C22" s="96"/>
      <c r="D22" s="96"/>
      <c r="E22" s="96"/>
      <c r="F22" s="97"/>
      <c r="G22" s="1"/>
    </row>
    <row r="23" spans="1:7" x14ac:dyDescent="0.45">
      <c r="A23" s="1"/>
      <c r="B23" s="40" t="s">
        <v>25</v>
      </c>
      <c r="C23" s="40" t="s">
        <v>16</v>
      </c>
      <c r="D23" s="41"/>
      <c r="E23" s="40" t="s">
        <v>47</v>
      </c>
      <c r="F23" s="41"/>
      <c r="G23" s="1"/>
    </row>
    <row r="24" spans="1:7" x14ac:dyDescent="0.4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46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46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5" t="s">
        <v>158</v>
      </c>
      <c r="C29" s="96"/>
      <c r="D29" s="96"/>
      <c r="E29" s="96"/>
      <c r="F29" s="97"/>
      <c r="G29" s="1"/>
    </row>
    <row r="30" spans="1:7" x14ac:dyDescent="0.45">
      <c r="A30" s="1"/>
      <c r="B30" s="40" t="s">
        <v>25</v>
      </c>
      <c r="C30" s="40" t="s">
        <v>16</v>
      </c>
      <c r="D30" s="41"/>
      <c r="E30" s="40" t="s">
        <v>47</v>
      </c>
      <c r="F30" s="41"/>
      <c r="G30" s="1"/>
    </row>
    <row r="31" spans="1:7" x14ac:dyDescent="0.4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46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46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</sheetData>
  <sheetProtection algorithmName="SHA-512" hashValue="imCfGq4S5EwcsE4AAa0CD5oE5Qp2gR8nk8Z02zfmLejKTOhFqNgtqQND2dcvrn+l3wiB16BI8FuNDPCfIpuL0g==" saltValue="X8AWU2GSaVHipA8YlpboY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15.1328125" style="2" customWidth="1"/>
    <col min="5" max="5" width="9.1328125" style="2"/>
    <col min="6" max="6" width="14.1328125" style="2" customWidth="1"/>
    <col min="7" max="7" width="10.265625" style="2" customWidth="1"/>
    <col min="8" max="8" width="3.1328125" style="2" customWidth="1"/>
    <col min="9" max="9" width="9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210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45">
      <c r="A9" s="1"/>
      <c r="B9" s="98" t="s">
        <v>12</v>
      </c>
      <c r="C9" s="99"/>
      <c r="D9" s="99"/>
      <c r="E9" s="99"/>
      <c r="F9" s="100"/>
      <c r="G9" s="9">
        <v>-720429</v>
      </c>
      <c r="H9" s="14" t="s">
        <v>3</v>
      </c>
      <c r="I9" s="1"/>
    </row>
    <row r="10" spans="1:9" x14ac:dyDescent="0.45">
      <c r="A10" s="1"/>
      <c r="B10" s="98" t="s">
        <v>135</v>
      </c>
      <c r="C10" s="99"/>
      <c r="D10" s="99"/>
      <c r="E10" s="99"/>
      <c r="F10" s="100"/>
      <c r="G10" s="9">
        <v>0</v>
      </c>
      <c r="H10" s="14" t="s">
        <v>3</v>
      </c>
      <c r="I10" s="1"/>
    </row>
    <row r="11" spans="1:9" x14ac:dyDescent="0.45">
      <c r="A11" s="1"/>
      <c r="B11" s="98" t="s">
        <v>80</v>
      </c>
      <c r="C11" s="99"/>
      <c r="D11" s="99"/>
      <c r="E11" s="99"/>
      <c r="F11" s="100"/>
      <c r="G11" s="9">
        <v>654488.37830687826</v>
      </c>
      <c r="H11" s="14" t="s">
        <v>3</v>
      </c>
      <c r="I11" s="1"/>
    </row>
    <row r="12" spans="1:9" x14ac:dyDescent="0.45">
      <c r="A12" s="1"/>
      <c r="B12" s="112" t="s">
        <v>15</v>
      </c>
      <c r="C12" s="113"/>
      <c r="D12" s="113"/>
      <c r="E12" s="113"/>
      <c r="F12" s="114"/>
      <c r="G12" s="19">
        <f>(G9+G10)+G11</f>
        <v>-65940.621693121735</v>
      </c>
      <c r="H12" s="18" t="s">
        <v>3</v>
      </c>
      <c r="I12" s="1"/>
    </row>
    <row r="13" spans="1:9" x14ac:dyDescent="0.45">
      <c r="A13" s="1"/>
      <c r="B13" s="98" t="s">
        <v>13</v>
      </c>
      <c r="C13" s="99"/>
      <c r="D13" s="99"/>
      <c r="E13" s="99"/>
      <c r="F13" s="100"/>
      <c r="G13" s="9">
        <v>1</v>
      </c>
      <c r="H13" s="14" t="s">
        <v>27</v>
      </c>
      <c r="I13" s="1"/>
    </row>
    <row r="14" spans="1:9" x14ac:dyDescent="0.45">
      <c r="A14" s="1"/>
      <c r="B14" s="95" t="s">
        <v>136</v>
      </c>
      <c r="C14" s="96"/>
      <c r="D14" s="96"/>
      <c r="E14" s="96"/>
      <c r="F14" s="97"/>
      <c r="G14" s="12">
        <f>IF(G13 = 0,0,-G12/G13)</f>
        <v>65940.621693121735</v>
      </c>
      <c r="H14" s="13" t="s">
        <v>3</v>
      </c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/7HtDk8ITZEIEF6ogp1gB6LkvepdeJCyN0tDJqBrc8PKNdbOvPEpUd3ujV7rKJCcwcj7H8CaeDGLufl1seT8HA==" saltValue="D+t8Q8JyMfruoYqta8u7J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2" t="s">
        <v>54</v>
      </c>
      <c r="C3" s="82"/>
      <c r="D3" s="1"/>
    </row>
    <row r="4" spans="1:4" ht="25.5" customHeight="1" x14ac:dyDescent="0.45">
      <c r="A4" s="1"/>
      <c r="B4" s="82"/>
      <c r="C4" s="82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6" t="s">
        <v>21</v>
      </c>
      <c r="C8" s="22"/>
      <c r="D8" s="1"/>
    </row>
    <row r="9" spans="1:4" x14ac:dyDescent="0.45">
      <c r="A9" s="1"/>
      <c r="B9" s="48" t="s">
        <v>211</v>
      </c>
      <c r="C9" s="28">
        <v>1.2699999999999999E-2</v>
      </c>
      <c r="D9" s="1"/>
    </row>
    <row r="10" spans="1:4" x14ac:dyDescent="0.45">
      <c r="A10" s="1"/>
      <c r="B10" s="48" t="s">
        <v>30</v>
      </c>
      <c r="C10" s="28">
        <v>1.7500000000000002E-2</v>
      </c>
      <c r="D10" s="1"/>
    </row>
    <row r="11" spans="1:4" x14ac:dyDescent="0.45">
      <c r="A11" s="1"/>
      <c r="B11" s="48" t="s">
        <v>212</v>
      </c>
      <c r="C11" s="28">
        <v>1.6899999999999998E-2</v>
      </c>
      <c r="D11" s="1"/>
    </row>
    <row r="12" spans="1:4" x14ac:dyDescent="0.45">
      <c r="A12" s="1"/>
      <c r="B12" s="35" t="s">
        <v>73</v>
      </c>
      <c r="C12" s="36">
        <v>1.9699999999999999E-2</v>
      </c>
      <c r="D12" s="1"/>
    </row>
    <row r="13" spans="1:4" x14ac:dyDescent="0.45">
      <c r="A13" s="1"/>
      <c r="B13" s="95"/>
      <c r="C13" s="97"/>
      <c r="D13" s="1"/>
    </row>
    <row r="14" spans="1:4" x14ac:dyDescent="0.45">
      <c r="A14" s="1"/>
      <c r="B14" s="1"/>
      <c r="C14" s="1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46" t="s">
        <v>181</v>
      </c>
      <c r="C16" s="22"/>
      <c r="D16" s="1"/>
    </row>
    <row r="17" spans="1:4" x14ac:dyDescent="0.45">
      <c r="A17" s="1"/>
      <c r="B17" s="48" t="s">
        <v>213</v>
      </c>
      <c r="C17" s="25">
        <v>9.1000000000000004E-3</v>
      </c>
      <c r="D17" s="1"/>
    </row>
    <row r="18" spans="1:4" x14ac:dyDescent="0.45">
      <c r="A18" s="1"/>
      <c r="B18" s="48" t="s">
        <v>214</v>
      </c>
      <c r="C18" s="25">
        <v>1.77E-2</v>
      </c>
      <c r="D18" s="1"/>
    </row>
    <row r="19" spans="1:4" x14ac:dyDescent="0.45">
      <c r="A19" s="1"/>
      <c r="B19" s="48" t="s">
        <v>215</v>
      </c>
      <c r="C19" s="25">
        <v>8.6999999999999994E-3</v>
      </c>
      <c r="D19" s="1"/>
    </row>
    <row r="20" spans="1:4" x14ac:dyDescent="0.45">
      <c r="A20" s="1"/>
      <c r="B20" s="48" t="s">
        <v>216</v>
      </c>
      <c r="C20" s="37">
        <v>2.8400000000000002E-2</v>
      </c>
      <c r="D20" s="1"/>
    </row>
    <row r="21" spans="1:4" x14ac:dyDescent="0.45">
      <c r="A21" s="1"/>
      <c r="B21" s="46"/>
      <c r="C21" s="22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46" t="s">
        <v>182</v>
      </c>
      <c r="C24" s="22"/>
      <c r="D24" s="1"/>
    </row>
    <row r="25" spans="1:4" x14ac:dyDescent="0.45">
      <c r="A25" s="1"/>
      <c r="B25" s="48" t="s">
        <v>217</v>
      </c>
      <c r="C25" s="28">
        <v>0.02</v>
      </c>
      <c r="D25" s="1"/>
    </row>
    <row r="26" spans="1:4" x14ac:dyDescent="0.45">
      <c r="A26" s="1"/>
      <c r="B26" s="46"/>
      <c r="C26" s="22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</sheetData>
  <sheetProtection algorithmName="SHA-512" hashValue="LcU6hdGuSQmBwT14Xl3B0tOTBVezAnZAOFuKt118bHZrv20YSm5fngWtlQK1q+pxI2tKQ2Ji1aD7KxVLtiqhEQ==" saltValue="G+mfZOmVasH0IgGrnuDqsg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65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6" t="s">
        <v>20</v>
      </c>
      <c r="C8" s="47"/>
      <c r="D8" s="22"/>
      <c r="E8" s="1"/>
    </row>
    <row r="9" spans="1:5" x14ac:dyDescent="0.45">
      <c r="A9" s="1"/>
      <c r="B9" s="45" t="s">
        <v>34</v>
      </c>
      <c r="C9" s="7">
        <f>'Fane 3. Omkostninger i ØR2019'!E22</f>
        <v>19054239.749799587</v>
      </c>
      <c r="D9" s="8" t="s">
        <v>3</v>
      </c>
      <c r="E9" s="1"/>
    </row>
    <row r="10" spans="1:5" ht="17.100000000000001" customHeight="1" x14ac:dyDescent="0.45">
      <c r="A10" s="1"/>
      <c r="B10" s="32" t="s">
        <v>67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45">
      <c r="A11" s="1"/>
      <c r="B11" s="32" t="s">
        <v>68</v>
      </c>
      <c r="C11" s="9">
        <f>'Fane 10.1. Varige tillæg'!E12</f>
        <v>159751.02688049999</v>
      </c>
      <c r="D11" s="8" t="s">
        <v>3</v>
      </c>
      <c r="E11" s="1"/>
    </row>
    <row r="12" spans="1:5" ht="17.100000000000001" customHeight="1" x14ac:dyDescent="0.4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4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45">
      <c r="A16" s="1"/>
      <c r="B16" s="32" t="s">
        <v>26</v>
      </c>
      <c r="C16" s="9">
        <f>C9*'Fane 14. Nøgletal'!C11+SUM(C10:C15)*'Fane 14. Nøgletal'!C12</f>
        <v>325163.74700115883</v>
      </c>
      <c r="D16" s="8" t="s">
        <v>3</v>
      </c>
      <c r="E16" s="1"/>
    </row>
    <row r="17" spans="1:5" ht="17.100000000000001" customHeight="1" x14ac:dyDescent="0.45">
      <c r="A17" s="1"/>
      <c r="B17" s="32" t="s">
        <v>10</v>
      </c>
      <c r="C17" s="9">
        <f>-SUM(C9:C16)*'Fane 5. Individuelt eff. krav'!G10</f>
        <v>-64414.265936166274</v>
      </c>
      <c r="D17" s="8" t="s">
        <v>3</v>
      </c>
      <c r="E17" s="1"/>
    </row>
    <row r="18" spans="1:5" ht="17.100000000000001" customHeight="1" x14ac:dyDescent="0.45">
      <c r="A18" s="1"/>
      <c r="B18" s="32" t="s">
        <v>38</v>
      </c>
      <c r="C18" s="9">
        <f>-'Fane 4.1. Gen. krav - drift'!G26</f>
        <v>-145203.7139654668</v>
      </c>
      <c r="D18" s="8" t="s">
        <v>3</v>
      </c>
      <c r="E18" s="1"/>
    </row>
    <row r="19" spans="1:5" ht="17.100000000000001" customHeight="1" x14ac:dyDescent="0.45">
      <c r="A19" s="1"/>
      <c r="B19" s="32" t="s">
        <v>39</v>
      </c>
      <c r="C19" s="9">
        <f>-'Fane 4.2. Gen. krav - anlæg'!G25</f>
        <v>-111695.26943607131</v>
      </c>
      <c r="D19" s="8" t="s">
        <v>3</v>
      </c>
      <c r="E19" s="1"/>
    </row>
    <row r="20" spans="1:5" ht="17.100000000000001" customHeight="1" x14ac:dyDescent="0.45">
      <c r="A20" s="1"/>
      <c r="B20" s="50" t="s">
        <v>28</v>
      </c>
      <c r="C20" s="10">
        <f>SUM(C9:C19)</f>
        <v>19217841.274343539</v>
      </c>
      <c r="D20" s="11" t="s">
        <v>3</v>
      </c>
      <c r="E20" s="1"/>
    </row>
    <row r="21" spans="1:5" ht="15" customHeight="1" x14ac:dyDescent="0.45">
      <c r="A21" s="1"/>
      <c r="B21" s="46" t="s">
        <v>17</v>
      </c>
      <c r="C21" s="47"/>
      <c r="D21" s="22"/>
      <c r="E21" s="1"/>
    </row>
    <row r="22" spans="1:5" ht="15" customHeight="1" x14ac:dyDescent="0.45">
      <c r="A22" s="1"/>
      <c r="B22" s="40" t="s">
        <v>17</v>
      </c>
      <c r="C22" s="10">
        <f>'Fane 6. Ikke-påvirkelige omk.'!C16</f>
        <v>12713989.727976264</v>
      </c>
      <c r="D22" s="11" t="s">
        <v>3</v>
      </c>
      <c r="E22" s="1"/>
    </row>
    <row r="23" spans="1:5" ht="15" customHeight="1" x14ac:dyDescent="0.45">
      <c r="A23" s="1"/>
      <c r="B23" s="46" t="s">
        <v>142</v>
      </c>
      <c r="C23" s="47"/>
      <c r="D23" s="22"/>
      <c r="E23" s="1"/>
    </row>
    <row r="24" spans="1:5" ht="15" customHeight="1" x14ac:dyDescent="0.4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4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4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45">
      <c r="A27" s="1"/>
      <c r="B27" s="46" t="s">
        <v>11</v>
      </c>
      <c r="C27" s="47"/>
      <c r="D27" s="22"/>
      <c r="E27" s="1"/>
    </row>
    <row r="28" spans="1:5" ht="15" customHeight="1" x14ac:dyDescent="0.45">
      <c r="A28" s="1"/>
      <c r="B28" s="40" t="s">
        <v>19</v>
      </c>
      <c r="C28" s="10">
        <f>'Fane 13. Hist. over-underdæk.'!G14</f>
        <v>65940.621693121735</v>
      </c>
      <c r="D28" s="11" t="s">
        <v>3</v>
      </c>
      <c r="E28" s="1"/>
    </row>
    <row r="29" spans="1:5" ht="15" customHeight="1" x14ac:dyDescent="0.45">
      <c r="A29" s="1"/>
      <c r="B29" s="46" t="s">
        <v>53</v>
      </c>
      <c r="C29" s="47"/>
      <c r="D29" s="22"/>
      <c r="E29" s="1"/>
    </row>
    <row r="30" spans="1:5" x14ac:dyDescent="0.45">
      <c r="A30" s="1"/>
      <c r="B30" s="40" t="s">
        <v>218</v>
      </c>
      <c r="C30" s="10">
        <f>'Fane 7. Kontrol af ØR2018'!E32</f>
        <v>0</v>
      </c>
      <c r="D30" s="11" t="s">
        <v>3</v>
      </c>
      <c r="E30" s="1"/>
    </row>
    <row r="31" spans="1:5" x14ac:dyDescent="0.45">
      <c r="A31" s="1"/>
      <c r="B31" s="46" t="s">
        <v>225</v>
      </c>
      <c r="C31" s="47"/>
      <c r="D31" s="22"/>
      <c r="E31" s="1"/>
    </row>
    <row r="32" spans="1:5" x14ac:dyDescent="0.45">
      <c r="A32" s="1"/>
      <c r="B32" s="40" t="s">
        <v>226</v>
      </c>
      <c r="C32" s="10">
        <f>'Fane 8. Korrektioner'!E10</f>
        <v>0</v>
      </c>
      <c r="D32" s="11" t="s">
        <v>3</v>
      </c>
      <c r="E32" s="1"/>
    </row>
    <row r="33" spans="1:5" x14ac:dyDescent="0.45">
      <c r="A33" s="1"/>
      <c r="B33" s="46" t="s">
        <v>35</v>
      </c>
      <c r="C33" s="33">
        <f>SUM(C20,C22,C26,C28,C30,C32)</f>
        <v>31997771.624012928</v>
      </c>
      <c r="D33" s="22" t="s">
        <v>3</v>
      </c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sYTpj5lhEuLKb6O5/fwI8r5O7Y/96vSpUsVf5zXLsR8H2d8GHeCf5IXHt6Vo4H0cnSm5V0Gr4J8SowCXmEoxWg==" saltValue="lnk/tH6KADI26Ia5L5Ih9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85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29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6" t="s">
        <v>20</v>
      </c>
      <c r="C8" s="47"/>
      <c r="D8" s="22"/>
      <c r="E8" s="1"/>
    </row>
    <row r="9" spans="1:5" ht="15" customHeight="1" x14ac:dyDescent="0.45">
      <c r="A9" s="1"/>
      <c r="B9" s="45" t="s">
        <v>36</v>
      </c>
      <c r="C9" s="7">
        <f>'Fane 2.1. Økonomisk ramme 2020'!C20</f>
        <v>19217841.274343539</v>
      </c>
      <c r="D9" s="8" t="s">
        <v>3</v>
      </c>
      <c r="E9" s="1"/>
    </row>
    <row r="10" spans="1:5" ht="15" customHeight="1" x14ac:dyDescent="0.4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4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45">
      <c r="A12" s="1"/>
      <c r="B12" s="38" t="s">
        <v>26</v>
      </c>
      <c r="C12" s="9">
        <f>SUM(C9:C11)*'Fane 14. Nøgletal'!C12</f>
        <v>378591.47310456767</v>
      </c>
      <c r="D12" s="8" t="s">
        <v>3</v>
      </c>
      <c r="E12" s="1"/>
    </row>
    <row r="13" spans="1:5" ht="15" customHeight="1" x14ac:dyDescent="0.45">
      <c r="A13" s="1"/>
      <c r="B13" s="38" t="s">
        <v>10</v>
      </c>
      <c r="C13" s="9">
        <f>-SUM(C9:C12)*'Fane 5. Individuelt eff. krav'!G10</f>
        <v>-64603.093693969102</v>
      </c>
      <c r="D13" s="8" t="s">
        <v>3</v>
      </c>
      <c r="E13" s="1"/>
    </row>
    <row r="14" spans="1:5" ht="15" customHeight="1" x14ac:dyDescent="0.45">
      <c r="A14" s="1"/>
      <c r="B14" s="38" t="s">
        <v>38</v>
      </c>
      <c r="C14" s="9">
        <f>-'Fane 4.1. Gen. krav - drift'!G32</f>
        <v>-145102.94258797477</v>
      </c>
      <c r="D14" s="8" t="s">
        <v>3</v>
      </c>
      <c r="E14" s="1"/>
    </row>
    <row r="15" spans="1:5" ht="15" customHeight="1" x14ac:dyDescent="0.45">
      <c r="A15" s="1"/>
      <c r="B15" s="38" t="s">
        <v>39</v>
      </c>
      <c r="C15" s="9">
        <f>-'Fane 4.2. Gen. krav - anlæg'!G31</f>
        <v>-357880.67993104341</v>
      </c>
      <c r="D15" s="8" t="s">
        <v>3</v>
      </c>
      <c r="E15" s="1"/>
    </row>
    <row r="16" spans="1:5" ht="15" customHeight="1" x14ac:dyDescent="0.45">
      <c r="A16" s="1"/>
      <c r="B16" s="39" t="s">
        <v>28</v>
      </c>
      <c r="C16" s="10">
        <f>SUM(C9:C15)</f>
        <v>19028846.031235117</v>
      </c>
      <c r="D16" s="11" t="s">
        <v>3</v>
      </c>
      <c r="E16" s="1"/>
    </row>
    <row r="17" spans="1:5" x14ac:dyDescent="0.45">
      <c r="A17" s="1"/>
      <c r="B17" s="46" t="s">
        <v>17</v>
      </c>
      <c r="C17" s="47"/>
      <c r="D17" s="22"/>
      <c r="E17" s="1"/>
    </row>
    <row r="18" spans="1:5" ht="15" customHeight="1" x14ac:dyDescent="0.45">
      <c r="A18" s="1"/>
      <c r="B18" s="40" t="s">
        <v>17</v>
      </c>
      <c r="C18" s="10">
        <f>'Fane 6. Ikke-påvirkelige omk.'!C16*(1+'Fane 14. Nøgletal'!C12)</f>
        <v>12964455.325617397</v>
      </c>
      <c r="D18" s="11" t="s">
        <v>3</v>
      </c>
      <c r="E18" s="1"/>
    </row>
    <row r="19" spans="1:5" ht="15" customHeight="1" x14ac:dyDescent="0.45">
      <c r="A19" s="1"/>
      <c r="B19" s="46" t="s">
        <v>142</v>
      </c>
      <c r="C19" s="47"/>
      <c r="D19" s="22"/>
      <c r="E19" s="1"/>
    </row>
    <row r="20" spans="1:5" ht="15" customHeight="1" x14ac:dyDescent="0.4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4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4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46" t="s">
        <v>160</v>
      </c>
      <c r="C23" s="47"/>
      <c r="D23" s="22"/>
      <c r="E23" s="1"/>
    </row>
    <row r="24" spans="1:5" ht="15" customHeight="1" x14ac:dyDescent="0.45">
      <c r="A24" s="1"/>
      <c r="B24" s="40" t="s">
        <v>195</v>
      </c>
      <c r="C24" s="10">
        <f>'Fane 7. Kontrol af ØR2018'!E39</f>
        <v>0</v>
      </c>
      <c r="D24" s="11" t="s">
        <v>3</v>
      </c>
      <c r="E24" s="1"/>
    </row>
    <row r="25" spans="1:5" x14ac:dyDescent="0.45">
      <c r="A25" s="1"/>
      <c r="B25" s="46" t="s">
        <v>44</v>
      </c>
      <c r="C25" s="12">
        <f>SUM(C16,C18,C22,C24)</f>
        <v>31993301.356852517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P0E6AFZo9xtTCfswTq7nAhZEkIbVKdEvr6N0R3wn0IAOTr6B4zoSoIIp1es2nQ9beNATLSP+DKqip3nlyc0o3g==" saltValue="kQ6yul9CxEuJfLYyUffus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193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29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6" t="s">
        <v>20</v>
      </c>
      <c r="C7" s="47"/>
      <c r="D7" s="22"/>
      <c r="E7" s="1"/>
    </row>
    <row r="8" spans="1:5" ht="15" customHeight="1" x14ac:dyDescent="0.45">
      <c r="A8" s="1"/>
      <c r="B8" s="45" t="s">
        <v>36</v>
      </c>
      <c r="C8" s="7">
        <f>'Fane 2.2. Økonomisk ramme 2021'!C16</f>
        <v>19028846.031235117</v>
      </c>
      <c r="D8" s="8" t="s">
        <v>3</v>
      </c>
      <c r="E8" s="1"/>
    </row>
    <row r="9" spans="1:5" ht="15" customHeight="1" x14ac:dyDescent="0.45">
      <c r="A9" s="1"/>
      <c r="B9" s="45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45">
      <c r="A10" s="1"/>
      <c r="B10" s="45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45">
      <c r="A11" s="1"/>
      <c r="B11" s="38" t="s">
        <v>26</v>
      </c>
      <c r="C11" s="9">
        <f>SUM(C8:C10)*'Fane 14. Nøgletal'!C12</f>
        <v>374868.26681533176</v>
      </c>
      <c r="D11" s="8" t="s">
        <v>3</v>
      </c>
      <c r="E11" s="1"/>
    </row>
    <row r="12" spans="1:5" ht="15" customHeight="1" x14ac:dyDescent="0.45">
      <c r="A12" s="1"/>
      <c r="B12" s="38" t="s">
        <v>10</v>
      </c>
      <c r="C12" s="9">
        <f>-SUM(C8:C11)*'Fane 5. Individuelt eff. krav'!G10</f>
        <v>-63967.763366074883</v>
      </c>
      <c r="D12" s="8" t="s">
        <v>3</v>
      </c>
      <c r="E12" s="1"/>
    </row>
    <row r="13" spans="1:5" ht="15" customHeight="1" x14ac:dyDescent="0.45">
      <c r="A13" s="1"/>
      <c r="B13" s="38" t="s">
        <v>38</v>
      </c>
      <c r="C13" s="9">
        <f>-'Fane 4.1. Gen. krav - drift'!G38</f>
        <v>-145002.24114581873</v>
      </c>
      <c r="D13" s="8" t="s">
        <v>3</v>
      </c>
      <c r="E13" s="1"/>
    </row>
    <row r="14" spans="1:5" ht="15" customHeight="1" x14ac:dyDescent="0.45">
      <c r="A14" s="1"/>
      <c r="B14" s="38" t="s">
        <v>39</v>
      </c>
      <c r="C14" s="9">
        <f>-'Fane 4.2. Gen. krav - anlæg'!G37</f>
        <v>-354566.89093283552</v>
      </c>
      <c r="D14" s="8" t="s">
        <v>3</v>
      </c>
      <c r="E14" s="1"/>
    </row>
    <row r="15" spans="1:5" x14ac:dyDescent="0.45">
      <c r="A15" s="1"/>
      <c r="B15" s="39" t="s">
        <v>28</v>
      </c>
      <c r="C15" s="10">
        <f>SUM(C8:C14)</f>
        <v>18840177.40260572</v>
      </c>
      <c r="D15" s="11" t="s">
        <v>3</v>
      </c>
      <c r="E15" s="1"/>
    </row>
    <row r="16" spans="1:5" x14ac:dyDescent="0.45">
      <c r="A16" s="1"/>
      <c r="B16" s="46" t="s">
        <v>17</v>
      </c>
      <c r="C16" s="47"/>
      <c r="D16" s="22"/>
      <c r="E16" s="1"/>
    </row>
    <row r="17" spans="1:5" ht="15" customHeight="1" x14ac:dyDescent="0.45">
      <c r="A17" s="1"/>
      <c r="B17" s="40" t="s">
        <v>17</v>
      </c>
      <c r="C17" s="10">
        <f>'Fane 6. Ikke-påvirkelige omk.'!C16*(1+'Fane 14. Nøgletal'!C12)^2</f>
        <v>13219855.09553206</v>
      </c>
      <c r="D17" s="11" t="s">
        <v>3</v>
      </c>
      <c r="E17" s="1"/>
    </row>
    <row r="18" spans="1:5" ht="15" customHeight="1" x14ac:dyDescent="0.45">
      <c r="A18" s="1"/>
      <c r="B18" s="46" t="s">
        <v>142</v>
      </c>
      <c r="C18" s="47"/>
      <c r="D18" s="22"/>
      <c r="E18" s="1"/>
    </row>
    <row r="19" spans="1:5" ht="15" customHeight="1" x14ac:dyDescent="0.4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4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4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46" t="s">
        <v>160</v>
      </c>
      <c r="C22" s="47"/>
      <c r="D22" s="22"/>
      <c r="E22" s="1"/>
    </row>
    <row r="23" spans="1:5" ht="15" customHeight="1" x14ac:dyDescent="0.45">
      <c r="A23" s="1"/>
      <c r="B23" s="40" t="s">
        <v>195</v>
      </c>
      <c r="C23" s="10">
        <f>'Fane 2.2. Økonomisk ramme 2021'!C24</f>
        <v>0</v>
      </c>
      <c r="D23" s="11" t="s">
        <v>3</v>
      </c>
      <c r="E23" s="1"/>
    </row>
    <row r="24" spans="1:5" x14ac:dyDescent="0.45">
      <c r="A24" s="1"/>
      <c r="B24" s="46" t="s">
        <v>45</v>
      </c>
      <c r="C24" s="12">
        <f>SUM(C15,C17,C21,C23)</f>
        <v>32060032.49813778</v>
      </c>
      <c r="D24" s="13" t="s">
        <v>3</v>
      </c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ar4ZnqBSwoC6n6JjseJ09PKUvlQURLlMsmqR2iEe4yVB9yV4BJKzJH2uxAqdPyBFbfBSlf0GhCZiSvYRwSFFcw==" saltValue="HeEYI1zuZtVqnFR1aJdZR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194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29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6" t="s">
        <v>20</v>
      </c>
      <c r="C7" s="47"/>
      <c r="D7" s="22"/>
      <c r="E7" s="1"/>
    </row>
    <row r="8" spans="1:5" ht="15" customHeight="1" x14ac:dyDescent="0.45">
      <c r="A8" s="1"/>
      <c r="B8" s="45" t="s">
        <v>37</v>
      </c>
      <c r="C8" s="7">
        <f>'Fane 2.3. Økonomisk ramme 2022'!C15</f>
        <v>18840177.40260572</v>
      </c>
      <c r="D8" s="8" t="s">
        <v>3</v>
      </c>
      <c r="E8" s="1"/>
    </row>
    <row r="9" spans="1:5" ht="15" customHeight="1" x14ac:dyDescent="0.45">
      <c r="A9" s="1"/>
      <c r="B9" s="45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45">
      <c r="A10" s="1"/>
      <c r="B10" s="45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45">
      <c r="A11" s="1"/>
      <c r="B11" s="38" t="s">
        <v>26</v>
      </c>
      <c r="C11" s="9">
        <f>C8*'Fane 14. Nøgletal'!C12</f>
        <v>371151.49483133265</v>
      </c>
      <c r="D11" s="8" t="s">
        <v>3</v>
      </c>
      <c r="E11" s="1"/>
    </row>
    <row r="12" spans="1:5" ht="15" customHeight="1" x14ac:dyDescent="0.45">
      <c r="A12" s="1"/>
      <c r="B12" s="38" t="s">
        <v>10</v>
      </c>
      <c r="C12" s="9">
        <f>-SUM(C8:C11)*'Fane 5. Individuelt eff. krav'!G10</f>
        <v>-63333.530992185428</v>
      </c>
      <c r="D12" s="8" t="s">
        <v>3</v>
      </c>
      <c r="E12" s="1"/>
    </row>
    <row r="13" spans="1:5" ht="15" customHeight="1" x14ac:dyDescent="0.45">
      <c r="A13" s="1"/>
      <c r="B13" s="38" t="s">
        <v>38</v>
      </c>
      <c r="C13" s="9">
        <f>-'Fane 4.1. Gen. krav - drift'!G44</f>
        <v>-144901.60959046354</v>
      </c>
      <c r="D13" s="8" t="s">
        <v>3</v>
      </c>
      <c r="E13" s="1"/>
    </row>
    <row r="14" spans="1:5" ht="15" customHeight="1" x14ac:dyDescent="0.45">
      <c r="A14" s="1"/>
      <c r="B14" s="38" t="s">
        <v>39</v>
      </c>
      <c r="C14" s="9">
        <f>-'Fane 4.2. Gen. krav - anlæg'!G43</f>
        <v>-351283.78589758079</v>
      </c>
      <c r="D14" s="8" t="s">
        <v>3</v>
      </c>
      <c r="E14" s="1"/>
    </row>
    <row r="15" spans="1:5" x14ac:dyDescent="0.45">
      <c r="A15" s="1"/>
      <c r="B15" s="39" t="s">
        <v>28</v>
      </c>
      <c r="C15" s="10">
        <f>SUM(C8:C14)</f>
        <v>18651809.970956825</v>
      </c>
      <c r="D15" s="11" t="s">
        <v>3</v>
      </c>
      <c r="E15" s="1"/>
    </row>
    <row r="16" spans="1:5" x14ac:dyDescent="0.45">
      <c r="A16" s="1"/>
      <c r="B16" s="46" t="s">
        <v>17</v>
      </c>
      <c r="C16" s="47"/>
      <c r="D16" s="22"/>
      <c r="E16" s="1"/>
    </row>
    <row r="17" spans="1:5" ht="15" customHeight="1" x14ac:dyDescent="0.45">
      <c r="A17" s="1"/>
      <c r="B17" s="40" t="s">
        <v>17</v>
      </c>
      <c r="C17" s="10">
        <f>'Fane 6. Ikke-påvirkelige omk.'!C16*(1+'Fane 14. Nøgletal'!C12)^3</f>
        <v>13480286.240914041</v>
      </c>
      <c r="D17" s="11" t="s">
        <v>3</v>
      </c>
      <c r="E17" s="1"/>
    </row>
    <row r="18" spans="1:5" ht="15" customHeight="1" x14ac:dyDescent="0.45">
      <c r="A18" s="1"/>
      <c r="B18" s="46" t="s">
        <v>142</v>
      </c>
      <c r="C18" s="47"/>
      <c r="D18" s="22"/>
      <c r="E18" s="1"/>
    </row>
    <row r="19" spans="1:5" ht="15" customHeight="1" x14ac:dyDescent="0.4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4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4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46" t="s">
        <v>154</v>
      </c>
      <c r="C22" s="12">
        <f>SUM(C15,C17,C21)</f>
        <v>32132096.211870864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TH8WaNApRsirPwfbwxBbq1VH1v/iOmETqCl2qnHoZJSJapHAdbqiKduSXYczTacRWcXCRI72/2NA6UO/cFyxrQ==" saltValue="Y0o0qcOZk2lOqdJgl7Cjv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2" t="s">
        <v>221</v>
      </c>
      <c r="C3" s="82"/>
      <c r="D3" s="82"/>
      <c r="E3" s="82"/>
      <c r="F3" s="82"/>
      <c r="G3" s="1"/>
    </row>
    <row r="4" spans="1:7" ht="29.25" customHeight="1" x14ac:dyDescent="0.45">
      <c r="A4" s="1"/>
      <c r="B4" s="82"/>
      <c r="C4" s="82"/>
      <c r="D4" s="82"/>
      <c r="E4" s="82"/>
      <c r="F4" s="8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6" t="s">
        <v>84</v>
      </c>
      <c r="C8" s="47"/>
      <c r="D8" s="47"/>
      <c r="E8" s="47"/>
      <c r="F8" s="22"/>
      <c r="G8" s="1"/>
    </row>
    <row r="9" spans="1:7" x14ac:dyDescent="0.45">
      <c r="A9" s="1"/>
      <c r="B9" s="83" t="s">
        <v>81</v>
      </c>
      <c r="C9" s="84"/>
      <c r="D9" s="85"/>
      <c r="E9" s="7">
        <v>18963123.487583779</v>
      </c>
      <c r="F9" s="8" t="s">
        <v>3</v>
      </c>
      <c r="G9" s="1"/>
    </row>
    <row r="10" spans="1:7" x14ac:dyDescent="0.45">
      <c r="A10" s="1"/>
      <c r="B10" s="83" t="s">
        <v>82</v>
      </c>
      <c r="C10" s="84"/>
      <c r="D10" s="85"/>
      <c r="E10" s="7">
        <v>0</v>
      </c>
      <c r="F10" s="8" t="s">
        <v>3</v>
      </c>
      <c r="G10" s="1"/>
    </row>
    <row r="11" spans="1:7" x14ac:dyDescent="0.45">
      <c r="A11" s="1"/>
      <c r="B11" s="83" t="s">
        <v>83</v>
      </c>
      <c r="C11" s="84"/>
      <c r="D11" s="85"/>
      <c r="E11" s="7">
        <v>84978.283114566031</v>
      </c>
      <c r="F11" s="8" t="s">
        <v>3</v>
      </c>
      <c r="G11" s="1"/>
    </row>
    <row r="12" spans="1:7" x14ac:dyDescent="0.45">
      <c r="A12" s="1"/>
      <c r="B12" s="74" t="s">
        <v>67</v>
      </c>
      <c r="C12" s="75"/>
      <c r="D12" s="76"/>
      <c r="E12" s="7">
        <v>0</v>
      </c>
      <c r="F12" s="8" t="s">
        <v>3</v>
      </c>
      <c r="G12" s="1"/>
    </row>
    <row r="13" spans="1:7" x14ac:dyDescent="0.45">
      <c r="A13" s="1"/>
      <c r="B13" s="74" t="s">
        <v>68</v>
      </c>
      <c r="C13" s="75"/>
      <c r="D13" s="76"/>
      <c r="E13" s="9">
        <v>0</v>
      </c>
      <c r="F13" s="8" t="s">
        <v>3</v>
      </c>
      <c r="G13" s="1"/>
    </row>
    <row r="14" spans="1:7" x14ac:dyDescent="0.45">
      <c r="A14" s="1"/>
      <c r="B14" s="74" t="s">
        <v>41</v>
      </c>
      <c r="C14" s="75"/>
      <c r="D14" s="76"/>
      <c r="E14" s="9">
        <v>0</v>
      </c>
      <c r="F14" s="8" t="s">
        <v>3</v>
      </c>
      <c r="G14" s="1"/>
    </row>
    <row r="15" spans="1:7" x14ac:dyDescent="0.45">
      <c r="A15" s="1"/>
      <c r="B15" s="74" t="s">
        <v>40</v>
      </c>
      <c r="C15" s="75"/>
      <c r="D15" s="76"/>
      <c r="E15" s="9">
        <v>0</v>
      </c>
      <c r="F15" s="8" t="s">
        <v>3</v>
      </c>
      <c r="G15" s="1"/>
    </row>
    <row r="16" spans="1:7" x14ac:dyDescent="0.45">
      <c r="A16" s="1"/>
      <c r="B16" s="74" t="s">
        <v>43</v>
      </c>
      <c r="C16" s="75"/>
      <c r="D16" s="76"/>
      <c r="E16" s="9">
        <v>0</v>
      </c>
      <c r="F16" s="8" t="s">
        <v>3</v>
      </c>
      <c r="G16" s="1"/>
    </row>
    <row r="17" spans="1:7" x14ac:dyDescent="0.45">
      <c r="A17" s="1"/>
      <c r="B17" s="74" t="s">
        <v>42</v>
      </c>
      <c r="C17" s="75"/>
      <c r="D17" s="76"/>
      <c r="E17" s="9">
        <v>0</v>
      </c>
      <c r="F17" s="8" t="s">
        <v>3</v>
      </c>
      <c r="G17" s="1"/>
    </row>
    <row r="18" spans="1:7" x14ac:dyDescent="0.45">
      <c r="A18" s="1"/>
      <c r="B18" s="74" t="s">
        <v>26</v>
      </c>
      <c r="C18" s="75"/>
      <c r="D18" s="76"/>
      <c r="E18" s="9">
        <f>SUM(E9:E17)*'Fane 14. Nøgletal'!C11</f>
        <v>321912.91992480203</v>
      </c>
      <c r="F18" s="8" t="s">
        <v>3</v>
      </c>
      <c r="G18" s="1"/>
    </row>
    <row r="19" spans="1:7" x14ac:dyDescent="0.45">
      <c r="A19" s="1"/>
      <c r="B19" s="74" t="s">
        <v>10</v>
      </c>
      <c r="C19" s="75"/>
      <c r="D19" s="76"/>
      <c r="E19" s="9">
        <f>-SUM(E9:E18)*'Fane 5. Individuelt eff. krav'!G10</f>
        <v>-63856.666671889085</v>
      </c>
      <c r="F19" s="8" t="s">
        <v>3</v>
      </c>
      <c r="G19" s="1"/>
    </row>
    <row r="20" spans="1:7" x14ac:dyDescent="0.45">
      <c r="A20" s="1"/>
      <c r="B20" s="74" t="s">
        <v>38</v>
      </c>
      <c r="C20" s="75"/>
      <c r="D20" s="76"/>
      <c r="E20" s="9">
        <f>-'Fane 4.1. Gen. krav - drift'!G20</f>
        <v>-145704.64654027225</v>
      </c>
      <c r="F20" s="8" t="s">
        <v>3</v>
      </c>
      <c r="G20" s="1"/>
    </row>
    <row r="21" spans="1:7" x14ac:dyDescent="0.45">
      <c r="A21" s="1"/>
      <c r="B21" s="74" t="s">
        <v>39</v>
      </c>
      <c r="C21" s="75"/>
      <c r="D21" s="76"/>
      <c r="E21" s="9">
        <f>-'Fane 4.2. Gen. krav - anlæg'!G19</f>
        <v>-106213.62761140025</v>
      </c>
      <c r="F21" s="8" t="s">
        <v>3</v>
      </c>
      <c r="G21" s="1"/>
    </row>
    <row r="22" spans="1:7" x14ac:dyDescent="0.45">
      <c r="A22" s="1"/>
      <c r="B22" s="89" t="s">
        <v>28</v>
      </c>
      <c r="C22" s="90"/>
      <c r="D22" s="91"/>
      <c r="E22" s="10">
        <f>SUM(E9:E21)</f>
        <v>19054239.749799587</v>
      </c>
      <c r="F22" s="11" t="s">
        <v>3</v>
      </c>
      <c r="G22" s="1"/>
    </row>
    <row r="23" spans="1:7" x14ac:dyDescent="0.45">
      <c r="A23" s="1"/>
      <c r="B23" s="77" t="s">
        <v>17</v>
      </c>
      <c r="C23" s="78"/>
      <c r="D23" s="78"/>
      <c r="E23" s="47"/>
      <c r="F23" s="22"/>
      <c r="G23" s="1"/>
    </row>
    <row r="24" spans="1:7" x14ac:dyDescent="0.45">
      <c r="A24" s="1"/>
      <c r="B24" s="79" t="s">
        <v>17</v>
      </c>
      <c r="C24" s="80"/>
      <c r="D24" s="81"/>
      <c r="E24" s="10">
        <v>11997203.759903107</v>
      </c>
      <c r="F24" s="11" t="s">
        <v>3</v>
      </c>
      <c r="G24" s="1"/>
    </row>
    <row r="25" spans="1:7" x14ac:dyDescent="0.45">
      <c r="A25" s="1"/>
      <c r="B25" s="46" t="s">
        <v>130</v>
      </c>
      <c r="C25" s="47"/>
      <c r="D25" s="47"/>
      <c r="E25" s="47"/>
      <c r="F25" s="22"/>
      <c r="G25" s="1"/>
    </row>
    <row r="26" spans="1:7" ht="27" customHeight="1" x14ac:dyDescent="0.45">
      <c r="A26" s="1"/>
      <c r="B26" s="92" t="s">
        <v>132</v>
      </c>
      <c r="C26" s="93"/>
      <c r="D26" s="94"/>
      <c r="E26" s="10">
        <v>60863.167541266754</v>
      </c>
      <c r="F26" s="11" t="s">
        <v>3</v>
      </c>
      <c r="G26" s="1"/>
    </row>
    <row r="27" spans="1:7" x14ac:dyDescent="0.45">
      <c r="A27" s="1"/>
      <c r="B27" s="46" t="s">
        <v>11</v>
      </c>
      <c r="C27" s="47"/>
      <c r="D27" s="47"/>
      <c r="E27" s="47"/>
      <c r="F27" s="22"/>
      <c r="G27" s="1"/>
    </row>
    <row r="28" spans="1:7" x14ac:dyDescent="0.45">
      <c r="A28" s="1"/>
      <c r="B28" s="79" t="s">
        <v>19</v>
      </c>
      <c r="C28" s="80"/>
      <c r="D28" s="81"/>
      <c r="E28" s="10">
        <v>65940</v>
      </c>
      <c r="F28" s="11" t="s">
        <v>3</v>
      </c>
      <c r="G28" s="1"/>
    </row>
    <row r="29" spans="1:7" x14ac:dyDescent="0.45">
      <c r="A29" s="1"/>
      <c r="B29" s="46" t="s">
        <v>160</v>
      </c>
      <c r="C29" s="47"/>
      <c r="D29" s="47"/>
      <c r="E29" s="47"/>
      <c r="F29" s="22"/>
      <c r="G29" s="1"/>
    </row>
    <row r="30" spans="1:7" x14ac:dyDescent="0.45">
      <c r="A30" s="1"/>
      <c r="B30" s="79" t="s">
        <v>131</v>
      </c>
      <c r="C30" s="80"/>
      <c r="D30" s="81"/>
      <c r="E30" s="10">
        <v>0</v>
      </c>
      <c r="F30" s="11" t="s">
        <v>3</v>
      </c>
      <c r="G30" s="1"/>
    </row>
    <row r="31" spans="1:7" x14ac:dyDescent="0.45">
      <c r="A31" s="1"/>
      <c r="B31" s="46" t="s">
        <v>23</v>
      </c>
      <c r="C31" s="47"/>
      <c r="D31" s="47"/>
      <c r="E31" s="12">
        <f>SUM(E28,E26,E24,E22,E30)</f>
        <v>31178246.677243963</v>
      </c>
      <c r="F31" s="13" t="s">
        <v>3</v>
      </c>
      <c r="G31" s="1"/>
    </row>
    <row r="32" spans="1:7" ht="28.15" customHeight="1" x14ac:dyDescent="0.45">
      <c r="A32" s="1"/>
      <c r="B32" s="86" t="s">
        <v>189</v>
      </c>
      <c r="C32" s="87"/>
      <c r="D32" s="87"/>
      <c r="E32" s="87"/>
      <c r="F32" s="88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</sheetData>
  <sheetProtection algorithmName="SHA-512" hashValue="WtrQ48NbHlbpL7R53L4o0S0fJ0NrKlnz6uMOoWZV6qCFmRwaX3cmbALGtzXkA+3IbruGF6lWoSXl/MYoVwIRmA==" saltValue="rgu7s0HlBq9e5MWYEUzZ+A==" spinCount="100000" sheet="1" objects="1" scenarios="1"/>
  <mergeCells count="21"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  <mergeCell ref="B3:F4"/>
    <mergeCell ref="B9:D9"/>
    <mergeCell ref="B12:D12"/>
    <mergeCell ref="B13:D13"/>
    <mergeCell ref="B14:D14"/>
    <mergeCell ref="B10:D10"/>
    <mergeCell ref="B11:D11"/>
    <mergeCell ref="B15:D15"/>
    <mergeCell ref="B16:D16"/>
    <mergeCell ref="B17:D17"/>
    <mergeCell ref="B23:D23"/>
    <mergeCell ref="B24:D2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45">
      <c r="A2" s="1"/>
      <c r="B2" s="72" t="s">
        <v>202</v>
      </c>
      <c r="C2" s="72"/>
      <c r="D2" s="72"/>
      <c r="E2" s="72"/>
      <c r="F2" s="72"/>
      <c r="G2" s="72"/>
      <c r="H2" s="72"/>
      <c r="I2" s="1"/>
    </row>
    <row r="3" spans="1:9" ht="15" customHeight="1" x14ac:dyDescent="0.45">
      <c r="A3" s="1"/>
      <c r="B3" s="72"/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95" t="s">
        <v>97</v>
      </c>
      <c r="C5" s="96"/>
      <c r="D5" s="96"/>
      <c r="E5" s="96"/>
      <c r="F5" s="96"/>
      <c r="G5" s="96"/>
      <c r="H5" s="97"/>
      <c r="I5" s="1"/>
    </row>
    <row r="6" spans="1:9" x14ac:dyDescent="0.45">
      <c r="A6" s="1"/>
      <c r="B6" s="98" t="s">
        <v>86</v>
      </c>
      <c r="C6" s="99"/>
      <c r="D6" s="99"/>
      <c r="E6" s="99"/>
      <c r="F6" s="100"/>
      <c r="G6" s="26">
        <v>7366008.1889917059</v>
      </c>
      <c r="H6" s="14" t="s">
        <v>3</v>
      </c>
      <c r="I6" s="1"/>
    </row>
    <row r="7" spans="1:9" x14ac:dyDescent="0.45">
      <c r="A7" s="1"/>
      <c r="B7" s="98" t="s">
        <v>87</v>
      </c>
      <c r="C7" s="99"/>
      <c r="D7" s="99"/>
      <c r="E7" s="99"/>
      <c r="F7" s="100"/>
      <c r="G7" s="26">
        <f>G6*'Fane 14. Nøgletal'!C25</f>
        <v>147320.16377983411</v>
      </c>
      <c r="H7" s="14" t="s">
        <v>3</v>
      </c>
      <c r="I7" s="1"/>
    </row>
    <row r="8" spans="1:9" x14ac:dyDescent="0.45">
      <c r="A8" s="1"/>
      <c r="B8" s="46"/>
      <c r="C8" s="47"/>
      <c r="D8" s="47"/>
      <c r="E8" s="47"/>
      <c r="F8" s="47"/>
      <c r="G8" s="47"/>
      <c r="H8" s="22"/>
      <c r="I8" s="1"/>
    </row>
    <row r="9" spans="1:9" x14ac:dyDescent="0.45">
      <c r="A9" s="1"/>
      <c r="B9" s="1"/>
      <c r="C9" s="1"/>
      <c r="D9" s="1"/>
      <c r="E9" s="1"/>
      <c r="F9" s="1"/>
      <c r="G9" s="1"/>
      <c r="H9" s="1"/>
      <c r="I9" s="1"/>
    </row>
    <row r="10" spans="1:9" x14ac:dyDescent="0.45">
      <c r="A10" s="1"/>
      <c r="B10" s="95" t="s">
        <v>98</v>
      </c>
      <c r="C10" s="96"/>
      <c r="D10" s="96"/>
      <c r="E10" s="96"/>
      <c r="F10" s="96"/>
      <c r="G10" s="96"/>
      <c r="H10" s="97"/>
      <c r="I10" s="1"/>
    </row>
    <row r="11" spans="1:9" x14ac:dyDescent="0.45">
      <c r="A11" s="1"/>
      <c r="B11" s="98" t="s">
        <v>88</v>
      </c>
      <c r="C11" s="99"/>
      <c r="D11" s="99"/>
      <c r="E11" s="99"/>
      <c r="F11" s="100"/>
      <c r="G11" s="26">
        <f>(G6-G7)*(1+'Fane 14. Nøgletal'!C9)</f>
        <v>7310365.3631320614</v>
      </c>
      <c r="H11" s="14" t="s">
        <v>3</v>
      </c>
      <c r="I11" s="1"/>
    </row>
    <row r="12" spans="1:9" x14ac:dyDescent="0.45">
      <c r="A12" s="1"/>
      <c r="B12" s="101" t="s">
        <v>89</v>
      </c>
      <c r="C12" s="102"/>
      <c r="D12" s="102"/>
      <c r="E12" s="102"/>
      <c r="F12" s="103"/>
      <c r="G12" s="26">
        <v>0</v>
      </c>
      <c r="H12" s="14" t="s">
        <v>3</v>
      </c>
      <c r="I12" s="1"/>
    </row>
    <row r="13" spans="1:9" x14ac:dyDescent="0.45">
      <c r="A13" s="1"/>
      <c r="B13" s="98" t="s">
        <v>90</v>
      </c>
      <c r="C13" s="99"/>
      <c r="D13" s="99"/>
      <c r="E13" s="99"/>
      <c r="F13" s="100"/>
      <c r="G13" s="26">
        <f>(G11+G12)*'Fane 14. Nøgletal'!C25</f>
        <v>146207.30726264123</v>
      </c>
      <c r="H13" s="14" t="s">
        <v>3</v>
      </c>
      <c r="I13" s="1"/>
    </row>
    <row r="14" spans="1:9" x14ac:dyDescent="0.45">
      <c r="A14" s="1"/>
      <c r="B14" s="46"/>
      <c r="C14" s="47"/>
      <c r="D14" s="47"/>
      <c r="E14" s="47"/>
      <c r="F14" s="47"/>
      <c r="G14" s="47"/>
      <c r="H14" s="22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95" t="s">
        <v>99</v>
      </c>
      <c r="C16" s="96"/>
      <c r="D16" s="96"/>
      <c r="E16" s="96"/>
      <c r="F16" s="96"/>
      <c r="G16" s="96"/>
      <c r="H16" s="97"/>
      <c r="I16" s="1"/>
    </row>
    <row r="17" spans="1:9" x14ac:dyDescent="0.45">
      <c r="A17" s="1"/>
      <c r="B17" s="98" t="s">
        <v>91</v>
      </c>
      <c r="C17" s="99"/>
      <c r="D17" s="99"/>
      <c r="E17" s="99"/>
      <c r="F17" s="100"/>
      <c r="G17" s="26">
        <f>(G13/'Fane 14. Nøgletal'!C25-G13)*(1+'Fane 14. Nøgletal'!C11)</f>
        <v>7285232.3270136127</v>
      </c>
      <c r="H17" s="14" t="s">
        <v>3</v>
      </c>
      <c r="I17" s="1"/>
    </row>
    <row r="18" spans="1:9" x14ac:dyDescent="0.45">
      <c r="A18" s="1"/>
      <c r="B18" s="98" t="s">
        <v>222</v>
      </c>
      <c r="C18" s="99"/>
      <c r="D18" s="99"/>
      <c r="E18" s="99"/>
      <c r="F18" s="100"/>
      <c r="G18" s="26">
        <v>0</v>
      </c>
      <c r="H18" s="14" t="s">
        <v>3</v>
      </c>
      <c r="I18" s="1"/>
    </row>
    <row r="19" spans="1:9" x14ac:dyDescent="0.45">
      <c r="A19" s="1"/>
      <c r="B19" s="101" t="s">
        <v>92</v>
      </c>
      <c r="C19" s="102"/>
      <c r="D19" s="102"/>
      <c r="E19" s="102"/>
      <c r="F19" s="103"/>
      <c r="G19" s="26">
        <v>0</v>
      </c>
      <c r="H19" s="14" t="s">
        <v>3</v>
      </c>
      <c r="I19" s="1"/>
    </row>
    <row r="20" spans="1:9" x14ac:dyDescent="0.45">
      <c r="A20" s="1"/>
      <c r="B20" s="98" t="s">
        <v>93</v>
      </c>
      <c r="C20" s="99"/>
      <c r="D20" s="99"/>
      <c r="E20" s="99"/>
      <c r="F20" s="100"/>
      <c r="G20" s="26">
        <f>SUM(G17:G19)*'Fane 14. Nøgletal'!C25</f>
        <v>145704.64654027225</v>
      </c>
      <c r="H20" s="14" t="s">
        <v>3</v>
      </c>
      <c r="I20" s="1"/>
    </row>
    <row r="21" spans="1:9" x14ac:dyDescent="0.45">
      <c r="A21" s="1"/>
      <c r="B21" s="46"/>
      <c r="C21" s="47"/>
      <c r="D21" s="47"/>
      <c r="E21" s="47"/>
      <c r="F21" s="47"/>
      <c r="G21" s="47"/>
      <c r="H21" s="22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95" t="s">
        <v>100</v>
      </c>
      <c r="C23" s="96"/>
      <c r="D23" s="96"/>
      <c r="E23" s="96"/>
      <c r="F23" s="96"/>
      <c r="G23" s="96"/>
      <c r="H23" s="97"/>
      <c r="I23" s="1"/>
    </row>
    <row r="24" spans="1:9" x14ac:dyDescent="0.45">
      <c r="A24" s="1"/>
      <c r="B24" s="98" t="s">
        <v>94</v>
      </c>
      <c r="C24" s="99"/>
      <c r="D24" s="99"/>
      <c r="E24" s="99"/>
      <c r="F24" s="100"/>
      <c r="G24" s="26">
        <f>(SUM(G17:G19)-G20)*(1+'Fane 14. Nøgletal'!C11)</f>
        <v>7260185.6982733393</v>
      </c>
      <c r="H24" s="14" t="s">
        <v>3</v>
      </c>
      <c r="I24" s="1"/>
    </row>
    <row r="25" spans="1:9" x14ac:dyDescent="0.45">
      <c r="A25" s="1"/>
      <c r="B25" s="101" t="s">
        <v>95</v>
      </c>
      <c r="C25" s="102"/>
      <c r="D25" s="102"/>
      <c r="E25" s="102"/>
      <c r="F25" s="103"/>
      <c r="G25" s="26">
        <f>('Fane 2.1. Økonomisk ramme 2020'!C10+'Fane 2.1. Økonomisk ramme 2020'!C12+'Fane 2.1. Økonomisk ramme 2020'!C14)*(1+'Fane 14. Nøgletal'!C12)</f>
        <v>0</v>
      </c>
      <c r="H25" s="14" t="s">
        <v>3</v>
      </c>
      <c r="I25" s="1"/>
    </row>
    <row r="26" spans="1:9" x14ac:dyDescent="0.45">
      <c r="A26" s="1"/>
      <c r="B26" s="98" t="s">
        <v>96</v>
      </c>
      <c r="C26" s="99"/>
      <c r="D26" s="99"/>
      <c r="E26" s="99"/>
      <c r="F26" s="100"/>
      <c r="G26" s="26">
        <f>(G24+G25)*'Fane 14. Nøgletal'!C25</f>
        <v>145203.7139654668</v>
      </c>
      <c r="H26" s="14" t="s">
        <v>3</v>
      </c>
      <c r="I26" s="1"/>
    </row>
    <row r="27" spans="1:9" x14ac:dyDescent="0.45">
      <c r="A27" s="1"/>
      <c r="B27" s="46"/>
      <c r="C27" s="47"/>
      <c r="D27" s="47"/>
      <c r="E27" s="47"/>
      <c r="F27" s="47"/>
      <c r="G27" s="47"/>
      <c r="H27" s="22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95" t="s">
        <v>191</v>
      </c>
      <c r="C29" s="96"/>
      <c r="D29" s="96"/>
      <c r="E29" s="96"/>
      <c r="F29" s="96"/>
      <c r="G29" s="96"/>
      <c r="H29" s="97"/>
      <c r="I29" s="1"/>
    </row>
    <row r="30" spans="1:9" x14ac:dyDescent="0.45">
      <c r="A30" s="1"/>
      <c r="B30" s="98" t="s">
        <v>103</v>
      </c>
      <c r="C30" s="99"/>
      <c r="D30" s="99"/>
      <c r="E30" s="99"/>
      <c r="F30" s="100"/>
      <c r="G30" s="26">
        <f>(G24+G25-G26)*(1+'Fane 14. Nøgletal'!C12)</f>
        <v>7255147.129398738</v>
      </c>
      <c r="H30" s="14" t="s">
        <v>3</v>
      </c>
      <c r="I30" s="1"/>
    </row>
    <row r="31" spans="1:9" x14ac:dyDescent="0.45">
      <c r="A31" s="1"/>
      <c r="B31" s="98" t="s">
        <v>145</v>
      </c>
      <c r="C31" s="99"/>
      <c r="D31" s="99"/>
      <c r="E31" s="99"/>
      <c r="F31" s="100"/>
      <c r="G31" s="26">
        <f>-'Fane 12. Bortfald'!C19*(1+'Fane 14. Nøgletal'!C12)</f>
        <v>0</v>
      </c>
      <c r="H31" s="14" t="s">
        <v>3</v>
      </c>
      <c r="I31" s="1"/>
    </row>
    <row r="32" spans="1:9" x14ac:dyDescent="0.45">
      <c r="A32" s="1"/>
      <c r="B32" s="98" t="s">
        <v>220</v>
      </c>
      <c r="C32" s="99"/>
      <c r="D32" s="99"/>
      <c r="E32" s="99"/>
      <c r="F32" s="100"/>
      <c r="G32" s="26">
        <f>(G30+G31)*'Fane 14. Nøgletal'!C25</f>
        <v>145102.94258797477</v>
      </c>
      <c r="H32" s="14" t="s">
        <v>3</v>
      </c>
      <c r="I32" s="1"/>
    </row>
    <row r="33" spans="1:9" x14ac:dyDescent="0.45">
      <c r="A33" s="1"/>
      <c r="B33" s="46"/>
      <c r="C33" s="47"/>
      <c r="D33" s="47"/>
      <c r="E33" s="47"/>
      <c r="F33" s="47"/>
      <c r="G33" s="47"/>
      <c r="H33" s="22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95" t="s">
        <v>126</v>
      </c>
      <c r="C35" s="96"/>
      <c r="D35" s="96"/>
      <c r="E35" s="96"/>
      <c r="F35" s="96"/>
      <c r="G35" s="96"/>
      <c r="H35" s="97"/>
      <c r="I35" s="1"/>
    </row>
    <row r="36" spans="1:9" x14ac:dyDescent="0.45">
      <c r="A36" s="1"/>
      <c r="B36" s="98" t="s">
        <v>125</v>
      </c>
      <c r="C36" s="99"/>
      <c r="D36" s="99"/>
      <c r="E36" s="99"/>
      <c r="F36" s="100"/>
      <c r="G36" s="26">
        <f>(G30-G32)*(1+'Fane 14. Nøgletal'!C12)</f>
        <v>7250112.0572909359</v>
      </c>
      <c r="H36" s="14" t="s">
        <v>3</v>
      </c>
      <c r="I36" s="1"/>
    </row>
    <row r="37" spans="1:9" x14ac:dyDescent="0.45">
      <c r="A37" s="1"/>
      <c r="B37" s="98" t="s">
        <v>146</v>
      </c>
      <c r="C37" s="99"/>
      <c r="D37" s="99"/>
      <c r="E37" s="99"/>
      <c r="F37" s="100"/>
      <c r="G37" s="26">
        <f>-'Fane 12. Bortfald'!C26*(1+'Fane 14. Nøgletal'!C12)</f>
        <v>0</v>
      </c>
      <c r="H37" s="14" t="s">
        <v>3</v>
      </c>
      <c r="I37" s="1"/>
    </row>
    <row r="38" spans="1:9" x14ac:dyDescent="0.45">
      <c r="A38" s="1"/>
      <c r="B38" s="98" t="s">
        <v>104</v>
      </c>
      <c r="C38" s="99"/>
      <c r="D38" s="99"/>
      <c r="E38" s="99"/>
      <c r="F38" s="100"/>
      <c r="G38" s="26">
        <f>(G36+G37)*'Fane 14. Nøgletal'!C25</f>
        <v>145002.24114581873</v>
      </c>
      <c r="H38" s="14" t="s">
        <v>3</v>
      </c>
      <c r="I38" s="1"/>
    </row>
    <row r="39" spans="1:9" x14ac:dyDescent="0.45">
      <c r="A39" s="1"/>
      <c r="B39" s="46"/>
      <c r="C39" s="47"/>
      <c r="D39" s="47"/>
      <c r="E39" s="47"/>
      <c r="F39" s="47"/>
      <c r="G39" s="47"/>
      <c r="H39" s="22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95" t="s">
        <v>127</v>
      </c>
      <c r="C41" s="96"/>
      <c r="D41" s="96"/>
      <c r="E41" s="96"/>
      <c r="F41" s="96"/>
      <c r="G41" s="96"/>
      <c r="H41" s="97"/>
      <c r="I41" s="1"/>
    </row>
    <row r="42" spans="1:9" x14ac:dyDescent="0.45">
      <c r="A42" s="1"/>
      <c r="B42" s="98" t="s">
        <v>124</v>
      </c>
      <c r="C42" s="99"/>
      <c r="D42" s="99"/>
      <c r="E42" s="99"/>
      <c r="F42" s="100"/>
      <c r="G42" s="26">
        <f>(G36-G38)*(1+'Fane 14. Nøgletal'!C12)</f>
        <v>7245080.4795231763</v>
      </c>
      <c r="H42" s="14" t="s">
        <v>3</v>
      </c>
      <c r="I42" s="1"/>
    </row>
    <row r="43" spans="1:9" x14ac:dyDescent="0.45">
      <c r="A43" s="1"/>
      <c r="B43" s="98" t="s">
        <v>147</v>
      </c>
      <c r="C43" s="99"/>
      <c r="D43" s="99"/>
      <c r="E43" s="99"/>
      <c r="F43" s="100"/>
      <c r="G43" s="26">
        <f>-'Fane 12. Bortfald'!C33*(1+'Fane 14. Nøgletal'!C12)</f>
        <v>0</v>
      </c>
      <c r="H43" s="14" t="s">
        <v>3</v>
      </c>
      <c r="I43" s="1"/>
    </row>
    <row r="44" spans="1:9" x14ac:dyDescent="0.45">
      <c r="A44" s="1"/>
      <c r="B44" s="98" t="s">
        <v>105</v>
      </c>
      <c r="C44" s="99"/>
      <c r="D44" s="99"/>
      <c r="E44" s="99"/>
      <c r="F44" s="100"/>
      <c r="G44" s="26">
        <f>(G42+G43)*'Fane 14. Nøgletal'!C25</f>
        <v>144901.60959046354</v>
      </c>
      <c r="H44" s="14" t="s">
        <v>3</v>
      </c>
      <c r="I44" s="1"/>
    </row>
    <row r="45" spans="1:9" x14ac:dyDescent="0.45">
      <c r="A45" s="1"/>
      <c r="B45" s="46"/>
      <c r="C45" s="47"/>
      <c r="D45" s="47"/>
      <c r="E45" s="47"/>
      <c r="F45" s="47"/>
      <c r="G45" s="47"/>
      <c r="H45" s="22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8GTe0JSmMQTsXmMLRWlPFN36cr3yvqxVW6dwHBzhals+Rj1NjZ0o6gxeZNRFxZvnb/FPMP50EvfL6ShyQCUi0Q==" saltValue="gCDS5pvoOoqIgLtczfJI3w==" spinCount="100000" sheet="1" objects="1" scenarios="1"/>
  <mergeCells count="29">
    <mergeCell ref="B2:H4"/>
    <mergeCell ref="B5:H5"/>
    <mergeCell ref="B6:F6"/>
    <mergeCell ref="B7:F7"/>
    <mergeCell ref="B11:F11"/>
    <mergeCell ref="B10:H10"/>
    <mergeCell ref="B41:H41"/>
    <mergeCell ref="B42:F42"/>
    <mergeCell ref="B44:F44"/>
    <mergeCell ref="B37:F37"/>
    <mergeCell ref="B43:F43"/>
    <mergeCell ref="B16:H16"/>
    <mergeCell ref="B23:H23"/>
    <mergeCell ref="B12:F12"/>
    <mergeCell ref="B13:F13"/>
    <mergeCell ref="B17:F17"/>
    <mergeCell ref="B19:F19"/>
    <mergeCell ref="B18:F18"/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8" x14ac:dyDescent="0.55000000000000004">
      <c r="A2" s="1"/>
      <c r="B2" s="104" t="s">
        <v>203</v>
      </c>
      <c r="C2" s="104"/>
      <c r="D2" s="104"/>
      <c r="E2" s="104"/>
      <c r="F2" s="104"/>
      <c r="G2" s="104"/>
      <c r="H2" s="104"/>
      <c r="I2" s="1"/>
    </row>
    <row r="3" spans="1:9" ht="18" x14ac:dyDescent="0.55000000000000004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45">
      <c r="A4" s="1"/>
      <c r="B4" s="95" t="s">
        <v>101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98" t="s">
        <v>106</v>
      </c>
      <c r="C5" s="99"/>
      <c r="D5" s="99"/>
      <c r="E5" s="99"/>
      <c r="F5" s="100"/>
      <c r="G5" s="26">
        <v>11988291.767596437</v>
      </c>
      <c r="H5" s="14" t="s">
        <v>3</v>
      </c>
      <c r="I5" s="1"/>
    </row>
    <row r="6" spans="1:9" x14ac:dyDescent="0.45">
      <c r="A6" s="1"/>
      <c r="B6" s="98" t="s">
        <v>102</v>
      </c>
      <c r="C6" s="99"/>
      <c r="D6" s="99"/>
      <c r="E6" s="99"/>
      <c r="F6" s="100"/>
      <c r="G6" s="26">
        <f>G5*'Fane 14. Nøgletal'!C17</f>
        <v>109093.45508512759</v>
      </c>
      <c r="H6" s="14" t="s">
        <v>3</v>
      </c>
      <c r="I6" s="1"/>
    </row>
    <row r="7" spans="1:9" x14ac:dyDescent="0.45">
      <c r="A7" s="1"/>
      <c r="B7" s="46"/>
      <c r="C7" s="47"/>
      <c r="D7" s="47"/>
      <c r="E7" s="47"/>
      <c r="F7" s="47"/>
      <c r="G7" s="47"/>
      <c r="H7" s="22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107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98" t="s">
        <v>108</v>
      </c>
      <c r="C10" s="99"/>
      <c r="D10" s="99"/>
      <c r="E10" s="99"/>
      <c r="F10" s="100"/>
      <c r="G10" s="26">
        <f>(G5-G6)*(1+'Fane 14. Nøgletal'!C9)</f>
        <v>12030064.131080203</v>
      </c>
      <c r="H10" s="14" t="s">
        <v>3</v>
      </c>
      <c r="I10" s="1"/>
    </row>
    <row r="11" spans="1:9" x14ac:dyDescent="0.45">
      <c r="A11" s="1"/>
      <c r="B11" s="101" t="s">
        <v>109</v>
      </c>
      <c r="C11" s="102"/>
      <c r="D11" s="102"/>
      <c r="E11" s="102"/>
      <c r="F11" s="103"/>
      <c r="G11" s="26">
        <v>0</v>
      </c>
      <c r="H11" s="14" t="s">
        <v>3</v>
      </c>
      <c r="I11" s="1"/>
    </row>
    <row r="12" spans="1:9" x14ac:dyDescent="0.45">
      <c r="A12" s="1"/>
      <c r="B12" s="98" t="s">
        <v>110</v>
      </c>
      <c r="C12" s="99"/>
      <c r="D12" s="99"/>
      <c r="E12" s="99"/>
      <c r="F12" s="100"/>
      <c r="G12" s="26">
        <f>G10*'Fane 14. Nøgletal'!C17+G11*'Fane 14. Nøgletal'!C18</f>
        <v>109473.58359282985</v>
      </c>
      <c r="H12" s="14" t="s">
        <v>3</v>
      </c>
      <c r="I12" s="1"/>
    </row>
    <row r="13" spans="1:9" x14ac:dyDescent="0.45">
      <c r="A13" s="1"/>
      <c r="B13" s="46"/>
      <c r="C13" s="47"/>
      <c r="D13" s="47"/>
      <c r="E13" s="47"/>
      <c r="F13" s="47"/>
      <c r="G13" s="47"/>
      <c r="H13" s="22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5" t="s">
        <v>111</v>
      </c>
      <c r="C15" s="96"/>
      <c r="D15" s="96"/>
      <c r="E15" s="96"/>
      <c r="F15" s="96"/>
      <c r="G15" s="96"/>
      <c r="H15" s="97"/>
      <c r="I15" s="1"/>
    </row>
    <row r="16" spans="1:9" x14ac:dyDescent="0.45">
      <c r="A16" s="1"/>
      <c r="B16" s="98" t="s">
        <v>112</v>
      </c>
      <c r="C16" s="99"/>
      <c r="D16" s="99"/>
      <c r="E16" s="99"/>
      <c r="F16" s="100"/>
      <c r="G16" s="26">
        <f>(G10+G11-G12)*(1+'Fane 14. Nøgletal'!C11)</f>
        <v>12122048.527739909</v>
      </c>
      <c r="H16" s="14" t="s">
        <v>3</v>
      </c>
      <c r="I16" s="1"/>
    </row>
    <row r="17" spans="1:9" x14ac:dyDescent="0.45">
      <c r="A17" s="1"/>
      <c r="B17" s="98" t="s">
        <v>223</v>
      </c>
      <c r="C17" s="99"/>
      <c r="D17" s="99"/>
      <c r="E17" s="99"/>
      <c r="F17" s="100"/>
      <c r="G17" s="26">
        <v>86414.416099202193</v>
      </c>
      <c r="H17" s="14" t="s">
        <v>3</v>
      </c>
      <c r="I17" s="1"/>
    </row>
    <row r="18" spans="1:9" x14ac:dyDescent="0.45">
      <c r="A18" s="1"/>
      <c r="B18" s="101" t="s">
        <v>113</v>
      </c>
      <c r="C18" s="102"/>
      <c r="D18" s="102"/>
      <c r="E18" s="102"/>
      <c r="F18" s="103"/>
      <c r="G18" s="26">
        <v>0</v>
      </c>
      <c r="H18" s="14" t="s">
        <v>3</v>
      </c>
      <c r="I18" s="1"/>
    </row>
    <row r="19" spans="1:9" x14ac:dyDescent="0.45">
      <c r="A19" s="1"/>
      <c r="B19" s="98" t="s">
        <v>114</v>
      </c>
      <c r="C19" s="99"/>
      <c r="D19" s="99"/>
      <c r="E19" s="99"/>
      <c r="F19" s="100"/>
      <c r="G19" s="26">
        <f>SUM(G16:G18)*'Fane 14. Nøgletal'!C19</f>
        <v>106213.62761140025</v>
      </c>
      <c r="H19" s="14" t="s">
        <v>3</v>
      </c>
      <c r="I19" s="1"/>
    </row>
    <row r="20" spans="1:9" x14ac:dyDescent="0.45">
      <c r="A20" s="1"/>
      <c r="B20" s="46"/>
      <c r="C20" s="47"/>
      <c r="D20" s="47"/>
      <c r="E20" s="47"/>
      <c r="F20" s="47"/>
      <c r="G20" s="47"/>
      <c r="H20" s="22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115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98" t="s">
        <v>116</v>
      </c>
      <c r="C23" s="99"/>
      <c r="D23" s="99"/>
      <c r="E23" s="99"/>
      <c r="F23" s="100"/>
      <c r="G23" s="26">
        <f>(SUM(G16:G18)-G19)*(1+'Fane 14. Nøgletal'!C11)</f>
        <v>12306777.329671957</v>
      </c>
      <c r="H23" s="14" t="s">
        <v>3</v>
      </c>
      <c r="I23" s="1"/>
    </row>
    <row r="24" spans="1:9" x14ac:dyDescent="0.45">
      <c r="A24" s="1"/>
      <c r="B24" s="101" t="s">
        <v>117</v>
      </c>
      <c r="C24" s="102"/>
      <c r="D24" s="102"/>
      <c r="E24" s="102"/>
      <c r="F24" s="103"/>
      <c r="G24" s="26">
        <f>('Fane 2.1. Økonomisk ramme 2020'!C11+'Fane 2.1. Økonomisk ramme 2020'!C13+'Fane 2.1. Økonomisk ramme 2020'!C15)*(1+'Fane 14. Nøgletal'!C12)</f>
        <v>162898.12211004586</v>
      </c>
      <c r="H24" s="14" t="s">
        <v>3</v>
      </c>
      <c r="I24" s="1"/>
    </row>
    <row r="25" spans="1:9" x14ac:dyDescent="0.45">
      <c r="A25" s="1"/>
      <c r="B25" s="98" t="s">
        <v>118</v>
      </c>
      <c r="C25" s="99"/>
      <c r="D25" s="99"/>
      <c r="E25" s="99"/>
      <c r="F25" s="100"/>
      <c r="G25" s="26">
        <f>G23*'Fane 14. Nøgletal'!C19+G24*'Fane 14. Nøgletal'!C20</f>
        <v>111695.26943607131</v>
      </c>
      <c r="H25" s="14" t="s">
        <v>3</v>
      </c>
      <c r="I25" s="1"/>
    </row>
    <row r="26" spans="1:9" x14ac:dyDescent="0.45">
      <c r="A26" s="1"/>
      <c r="B26" s="46"/>
      <c r="C26" s="47"/>
      <c r="D26" s="47"/>
      <c r="E26" s="47"/>
      <c r="F26" s="47"/>
      <c r="G26" s="47"/>
      <c r="H26" s="22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190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98" t="s">
        <v>119</v>
      </c>
      <c r="C29" s="99"/>
      <c r="D29" s="99"/>
      <c r="E29" s="99"/>
      <c r="F29" s="100"/>
      <c r="G29" s="26">
        <f>(G23+G24-G25)*(1+'Fane 14. Nøgletal'!C12)</f>
        <v>12601432.391938148</v>
      </c>
      <c r="H29" s="14" t="s">
        <v>3</v>
      </c>
      <c r="I29" s="1"/>
    </row>
    <row r="30" spans="1:9" x14ac:dyDescent="0.45">
      <c r="A30" s="1"/>
      <c r="B30" s="98" t="s">
        <v>151</v>
      </c>
      <c r="C30" s="99"/>
      <c r="D30" s="99"/>
      <c r="E30" s="99"/>
      <c r="F30" s="100"/>
      <c r="G30" s="26">
        <f>-'Fane 12. Bortfald'!E19*(1+'Fane 14. Nøgletal'!C12)</f>
        <v>0</v>
      </c>
      <c r="H30" s="14" t="s">
        <v>3</v>
      </c>
      <c r="I30" s="1"/>
    </row>
    <row r="31" spans="1:9" x14ac:dyDescent="0.45">
      <c r="A31" s="1"/>
      <c r="B31" s="98" t="s">
        <v>219</v>
      </c>
      <c r="C31" s="99"/>
      <c r="D31" s="99"/>
      <c r="E31" s="99"/>
      <c r="F31" s="100"/>
      <c r="G31" s="26">
        <f>(G29+G30)*'Fane 14. Nøgletal'!C20</f>
        <v>357880.67993104341</v>
      </c>
      <c r="H31" s="14" t="s">
        <v>3</v>
      </c>
      <c r="I31" s="1"/>
    </row>
    <row r="32" spans="1:9" x14ac:dyDescent="0.45">
      <c r="A32" s="1"/>
      <c r="B32" s="46"/>
      <c r="C32" s="47"/>
      <c r="D32" s="47"/>
      <c r="E32" s="47"/>
      <c r="F32" s="47"/>
      <c r="G32" s="47"/>
      <c r="H32" s="22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128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98" t="s">
        <v>123</v>
      </c>
      <c r="C35" s="99"/>
      <c r="D35" s="99"/>
      <c r="E35" s="99"/>
      <c r="F35" s="100"/>
      <c r="G35" s="26">
        <f>(G29-G31)*(1+'Fane 14. Nøgletal'!C12)</f>
        <v>12484749.680733645</v>
      </c>
      <c r="H35" s="14" t="s">
        <v>3</v>
      </c>
      <c r="I35" s="1"/>
    </row>
    <row r="36" spans="1:9" x14ac:dyDescent="0.45">
      <c r="A36" s="1"/>
      <c r="B36" s="98" t="s">
        <v>152</v>
      </c>
      <c r="C36" s="99"/>
      <c r="D36" s="99"/>
      <c r="E36" s="99"/>
      <c r="F36" s="100"/>
      <c r="G36" s="26">
        <f>-'Fane 12. Bortfald'!E26*(1+'Fane 14. Nøgletal'!C12)</f>
        <v>0</v>
      </c>
      <c r="H36" s="14" t="s">
        <v>3</v>
      </c>
      <c r="I36" s="1"/>
    </row>
    <row r="37" spans="1:9" x14ac:dyDescent="0.45">
      <c r="A37" s="1"/>
      <c r="B37" s="98" t="s">
        <v>120</v>
      </c>
      <c r="C37" s="99"/>
      <c r="D37" s="99"/>
      <c r="E37" s="99"/>
      <c r="F37" s="100"/>
      <c r="G37" s="26">
        <f>(G35+G36)*'Fane 14. Nøgletal'!C20</f>
        <v>354566.89093283552</v>
      </c>
      <c r="H37" s="14" t="s">
        <v>3</v>
      </c>
      <c r="I37" s="1"/>
    </row>
    <row r="38" spans="1:9" x14ac:dyDescent="0.45">
      <c r="A38" s="1"/>
      <c r="B38" s="46"/>
      <c r="C38" s="47"/>
      <c r="D38" s="47"/>
      <c r="E38" s="47"/>
      <c r="F38" s="47"/>
      <c r="G38" s="47"/>
      <c r="H38" s="22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129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98" t="s">
        <v>122</v>
      </c>
      <c r="C41" s="99"/>
      <c r="D41" s="99"/>
      <c r="E41" s="99"/>
      <c r="F41" s="100"/>
      <c r="G41" s="26">
        <f>(G35-G37)*(1+'Fane 14. Nøgletal'!C12)</f>
        <v>12369147.390759887</v>
      </c>
      <c r="H41" s="14" t="s">
        <v>3</v>
      </c>
      <c r="I41" s="1"/>
    </row>
    <row r="42" spans="1:9" x14ac:dyDescent="0.45">
      <c r="A42" s="1"/>
      <c r="B42" s="98" t="s">
        <v>153</v>
      </c>
      <c r="C42" s="99"/>
      <c r="D42" s="99"/>
      <c r="E42" s="99"/>
      <c r="F42" s="100"/>
      <c r="G42" s="26">
        <f>-'Fane 12. Bortfald'!E33*(1+'Fane 14. Nøgletal'!C12)</f>
        <v>0</v>
      </c>
      <c r="H42" s="14" t="s">
        <v>3</v>
      </c>
      <c r="I42" s="1"/>
    </row>
    <row r="43" spans="1:9" x14ac:dyDescent="0.45">
      <c r="A43" s="1"/>
      <c r="B43" s="98" t="s">
        <v>121</v>
      </c>
      <c r="C43" s="99"/>
      <c r="D43" s="99"/>
      <c r="E43" s="99"/>
      <c r="F43" s="100"/>
      <c r="G43" s="26">
        <f>(G41+G42)*'Fane 14. Nøgletal'!C20</f>
        <v>351283.78589758079</v>
      </c>
      <c r="H43" s="14" t="s">
        <v>3</v>
      </c>
      <c r="I43" s="1"/>
    </row>
    <row r="44" spans="1:9" x14ac:dyDescent="0.45">
      <c r="A44" s="1"/>
      <c r="B44" s="46"/>
      <c r="C44" s="47"/>
      <c r="D44" s="47"/>
      <c r="E44" s="47"/>
      <c r="F44" s="47"/>
      <c r="G44" s="47"/>
      <c r="H44" s="22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7gL04UVl13ZSWXOemIrbxrUj0eW76YfS/hBmO72AaiKjOiFUlO/gvrVTiQL/1jAMZdbvMWfGC58vkeS6ZjOrKg==" saltValue="6yjAAqmwgxQDSVdRN/GWFA==" spinCount="100000" sheet="1" objects="1" scenarios="1"/>
  <mergeCells count="29"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144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45">
      <c r="A9" s="1"/>
      <c r="B9" s="98" t="s">
        <v>178</v>
      </c>
      <c r="C9" s="99"/>
      <c r="D9" s="99"/>
      <c r="E9" s="99"/>
      <c r="F9" s="100"/>
      <c r="G9" s="25">
        <v>3.1923509922658351E-3</v>
      </c>
      <c r="H9" s="14"/>
      <c r="I9" s="1"/>
    </row>
    <row r="10" spans="1:9" x14ac:dyDescent="0.45">
      <c r="A10" s="1"/>
      <c r="B10" s="98" t="s">
        <v>179</v>
      </c>
      <c r="C10" s="99"/>
      <c r="D10" s="99"/>
      <c r="E10" s="99"/>
      <c r="F10" s="100"/>
      <c r="G10" s="25">
        <v>3.296676212785813E-3</v>
      </c>
      <c r="H10" s="14"/>
      <c r="I10" s="1"/>
    </row>
    <row r="11" spans="1:9" x14ac:dyDescent="0.45">
      <c r="A11" s="1"/>
      <c r="B11" s="46"/>
      <c r="C11" s="47"/>
      <c r="D11" s="47"/>
      <c r="E11" s="47"/>
      <c r="F11" s="47"/>
      <c r="G11" s="47"/>
      <c r="H11" s="22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20"/>
      <c r="B13" s="105"/>
      <c r="C13" s="105"/>
      <c r="D13" s="105"/>
      <c r="E13" s="105"/>
      <c r="F13" s="105"/>
      <c r="G13" s="105"/>
      <c r="H13" s="105"/>
      <c r="I13" s="20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EgtutHOL8l+shKgyJ6gFtubH3lDbTrob4hqMXGku+8+VWO+PwgDIQ4LCcOYWaZjBlDLpewtJkbmUoAaor3UUdA==" saltValue="8XR2MqyCJE+e2zfkmsxcWg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2019-09-06T09:31:00Z</dcterms:modified>
</cp:coreProperties>
</file>