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ebild Vand &amp; Spildevand AS (S07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7" i="11" l="1"/>
  <c r="E18" i="11"/>
  <c r="E10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38" i="39" l="1"/>
  <c r="C21" i="23" s="1"/>
  <c r="E22" i="39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9" i="11" l="1"/>
  <c r="C10" i="37" s="1"/>
  <c r="C11" i="37" s="1"/>
  <c r="C12" i="37" s="1"/>
  <c r="C12" i="2" s="1"/>
  <c r="G19" i="11"/>
  <c r="E11" i="21" l="1"/>
  <c r="C11" i="21"/>
  <c r="E11" i="29"/>
  <c r="C11" i="29"/>
  <c r="C16" i="19"/>
  <c r="C17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9" i="11" l="1"/>
  <c r="E10" i="37" s="1"/>
  <c r="E11" i="37" s="1"/>
  <c r="E12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<sst xmlns="http://schemas.openxmlformats.org/spreadsheetml/2006/main" count="710" uniqueCount="282">
  <si>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</si>
  <si>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</si>
  <si>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</si>
  <si>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</si>
  <si>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</si>
  <si>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</si>
  <si>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</si>
  <si>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</si>
  <si>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</si>
  <si>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</si>
  <si>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</si>
  <si>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</si>
  <si>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</si>
  <si>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</si>
  <si>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</si>
  <si>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</si>
  <si>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</si>
  <si>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</si>
  <si>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</si>
  <si>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</si>
  <si>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</si>
  <si>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</si>
  <si>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</si>
  <si>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</si>
  <si>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</si>
  <si>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</si>
  <si>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</si>
  <si>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</si>
  <si>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</si>
  <si>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</si>
  <si>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</si>
  <si>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</si>
  <si>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</si>
  <si>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</si>
  <si>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</si>
  <si>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</si>
  <si>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</si>
  <si>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</si>
  <si>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</si>
  <si>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</si>
  <si>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</si>
  <si>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</si>
  <si>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</si>
  <si>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</si>
  <si>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</si>
  <si>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</si>
  <si>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</si>
  <si>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</si>
  <si>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</si>
  <si>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</si>
  <si>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</si>
  <si>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</si>
  <si>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</si>
  <si>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</si>
  <si>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</si>
  <si>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</si>
  <si>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</si>
  <si>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</si>
  <si>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</si>
  <si>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</si>
  <si>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</si>
  <si>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</si>
  <si>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</si>
  <si>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</si>
  <si>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</si>
  <si>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</si>
  <si>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</si>
  <si>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</si>
  <si>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</si>
  <si>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</si>
  <si>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</si>
  <si>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</si>
  <si>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</si>
  <si>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</si>
  <si>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</si>
  <si>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</si>
  <si>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</si>
  <si>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</si>
  <si>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</si>
  <si>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</si>
  <si>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</si>
  <si>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</si>
  <si>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</si>
  <si>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</si>
  <si>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</si>
  <si>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</si>
  <si>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</si>
  <si>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</si>
  <si>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</si>
  <si>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</si>
  <si>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</si>
  <si>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</si>
  <si>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</si>
  <si>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</si>
  <si>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</si>
  <si>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</si>
  <si>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</si>
  <si>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</si>
  <si>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</si>
  <si>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</si>
  <si>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</si>
  <si>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</si>
  <si>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</si>
  <si>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</si>
  <si>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</si>
  <si>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</si>
  <si>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</si>
  <si>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</si>
  <si>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</si>
  <si>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</si>
  <si>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</si>
  <si>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</si>
  <si>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</si>
  <si>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</si>
  <si>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</si>
  <si>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</si>
  <si>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</si>
  <si>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</si>
  <si>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</si>
  <si>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</si>
  <si>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</si>
  <si>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</si>
  <si>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</si>
  <si>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</si>
  <si>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</si>
  <si>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</si>
  <si>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</si>
  <si>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</si>
  <si>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</si>
  <si>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</si>
  <si>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</si>
  <si>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</si>
  <si>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</si>
  <si>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</si>
  <si>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</si>
  <si>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</si>
  <si>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</si>
  <si>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</si>
  <si>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</si>
  <si>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</si>
  <si>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</si>
  <si>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</si>
  <si>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</si>
  <si>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</si>
  <si>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</si>
  <si>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</si>
  <si>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</si>
  <si>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</si>
  <si>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</si>
  <si>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</si>
  <si>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</si>
  <si>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</si>
  <si>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</si>
  <si>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</si>
  <si>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</si>
  <si>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</si>
  <si>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</si>
  <si>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</si>
  <si>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</si>
  <si>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</si>
  <si>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</si>
  <si>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</si>
  <si>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</si>
  <si>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</si>
  <si>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</si>
  <si>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</si>
  <si>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</si>
  <si>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</si>
  <si>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</si>
  <si>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</si>
  <si>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</si>
  <si>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</si>
  <si>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</si>
  <si>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</si>
  <si>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</si>
  <si>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</si>
  <si>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</si>
  <si>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</si>
  <si>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</si>
  <si>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</si>
  <si>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</si>
  <si>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</si>
  <si>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</si>
  <si>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</si>
  <si>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</si>
  <si>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</si>
  <si>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</si>
  <si>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</si>
  <si>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</si>
  <si>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</si>
  <si>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</si>
  <si>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</si>
  <si>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</si>
  <si>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</si>
  <si>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</si>
  <si>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</si>
  <si>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</si>
  <si>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</si>
  <si>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</si>
  <si>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</si>
  <si>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</si>
  <si>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</si>
  <si>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</si>
  <si>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</si>
  <si>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</si>
  <si>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</si>
  <si>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</si>
  <si>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</si>
  <si>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</si>
  <si>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</si>
  <si>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</si>
  <si>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</si>
  <si>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</si>
  <si>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</si>
  <si>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</si>
  <si>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</si>
  <si>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</si>
  <si>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</si>
  <si>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</si>
  <si>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</si>
  <si>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</si>
  <si>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</si>
  <si>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</si>
  <si>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</si>
  <si>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</si>
  <si>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</si>
  <si>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</si>
  <si>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</si>
  <si>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</si>
  <si>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</si>
  <si>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</si>
  <si>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</si>
  <si>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</si>
  <si>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</si>
  <si>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</si>
  <si>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</si>
  <si>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</si>
  <si>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</si>
  <si>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</si>
  <si>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</si>
  <si>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</si>
  <si>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</si>
  <si>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</si>
  <si>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</si>
  <si>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</si>
  <si>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</si>
  <si>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</si>
  <si>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</si>
  <si>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</si>
  <si>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</si>
  <si>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</si>
  <si>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</si>
  <si>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</si>
  <si>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</si>
  <si>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</si>
  <si>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</si>
  <si>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</si>
  <si>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</si>
  <si>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</si>
  <si>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</si>
  <si>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</si>
  <si>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</si>
  <si>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</si>
  <si>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</si>
  <si>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</si>
  <si>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</si>
  <si>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</si>
  <si>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</si>
  <si>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</si>
  <si>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</si>
  <si>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</si>
  <si>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</si>
  <si>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Erstatninger</t>
  </si>
  <si>
    <t>Ingen engangstillæg</t>
  </si>
  <si>
    <t>Pumpestationer m. overbygning (&lt; 20 m2), Konstruktioner</t>
  </si>
  <si>
    <t>Pumpestationer m. overbygning (&lt; 20 m2), Mek/EL</t>
  </si>
  <si>
    <t>Pumpestationer m. overbygning (&lt; 20 m2), SRO</t>
  </si>
  <si>
    <t>Brønde</t>
  </si>
  <si>
    <t>Ø 200 mm &lt; Ledningsnet ≤ Ø 500 mm</t>
  </si>
  <si>
    <t>Ledningsnet ≤ Ø 200 mm</t>
  </si>
  <si>
    <t>Stik</t>
  </si>
  <si>
    <t>Anlægsprojekter igangsat senest 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</si>
</sst>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214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51</v>
      </c>
      <c r="D15" s="58" t="s">
        <v>133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53</v>
      </c>
      <c r="D16" s="58" t="s">
        <v>134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255</v>
      </c>
      <c r="D17" s="58" t="s">
        <v>63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221</v>
      </c>
      <c r="D18" s="61" t="s">
        <v>176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222</v>
      </c>
      <c r="D19" s="61" t="s">
        <v>177</v>
      </c>
      <c r="E19" s="62"/>
      <c r="F19" s="62"/>
      <c r="G19" s="63"/>
      <c r="H19" s="1"/>
      <c r="I19" s="1"/>
    </row>
    <row r="20" spans="1:9" x14ac:dyDescent="0.45">
      <c r="A20" s="1"/>
      <c r="B20" s="1"/>
      <c r="C20" s="6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45">
      <c r="A21" s="1"/>
      <c r="B21" s="1"/>
      <c r="C21" s="6" t="s">
        <v>223</v>
      </c>
      <c r="D21" s="67" t="s">
        <v>17</v>
      </c>
      <c r="E21" s="68"/>
      <c r="F21" s="68"/>
      <c r="G21" s="69"/>
      <c r="H21" s="1"/>
      <c r="I21" s="1"/>
    </row>
    <row r="22" spans="1:9" x14ac:dyDescent="0.45">
      <c r="A22" s="1"/>
      <c r="B22" s="1"/>
      <c r="C22" s="6" t="s">
        <v>140</v>
      </c>
      <c r="D22" s="53" t="s">
        <v>173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8</v>
      </c>
      <c r="D23" s="53" t="s">
        <v>258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55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224</v>
      </c>
      <c r="D25" s="53" t="s">
        <v>141</v>
      </c>
      <c r="E25" s="54"/>
      <c r="F25" s="54"/>
      <c r="G25" s="55"/>
      <c r="H25" s="1"/>
      <c r="I25" s="1"/>
    </row>
    <row r="26" spans="1:9" x14ac:dyDescent="0.45">
      <c r="A26" s="1"/>
      <c r="B26" s="1"/>
      <c r="C26" s="6" t="s">
        <v>225</v>
      </c>
      <c r="D26" s="53" t="s">
        <v>142</v>
      </c>
      <c r="E26" s="54"/>
      <c r="F26" s="54"/>
      <c r="G26" s="55"/>
      <c r="H26" s="1"/>
      <c r="I26" s="1"/>
    </row>
    <row r="27" spans="1:9" x14ac:dyDescent="0.45">
      <c r="A27" s="1"/>
      <c r="B27" s="1"/>
      <c r="C27" s="6" t="s">
        <v>226</v>
      </c>
      <c r="D27" s="53" t="s">
        <v>143</v>
      </c>
      <c r="E27" s="54"/>
      <c r="F27" s="54"/>
      <c r="G27" s="55"/>
      <c r="H27" s="1"/>
      <c r="I27" s="1"/>
    </row>
    <row r="28" spans="1:9" x14ac:dyDescent="0.45">
      <c r="A28" s="1"/>
      <c r="B28" s="1"/>
      <c r="C28" s="6" t="s">
        <v>22</v>
      </c>
      <c r="D28" s="53" t="s">
        <v>56</v>
      </c>
      <c r="E28" s="54"/>
      <c r="F28" s="54"/>
      <c r="G28" s="55"/>
      <c r="H28" s="1"/>
      <c r="I28" s="1"/>
    </row>
    <row r="29" spans="1:9" x14ac:dyDescent="0.45">
      <c r="A29" s="1"/>
      <c r="B29" s="1"/>
      <c r="C29" s="6" t="s">
        <v>58</v>
      </c>
      <c r="D29" s="53" t="s">
        <v>57</v>
      </c>
      <c r="E29" s="54"/>
      <c r="F29" s="54"/>
      <c r="G29" s="55"/>
      <c r="H29" s="1"/>
      <c r="I29" s="1"/>
    </row>
    <row r="30" spans="1:9" x14ac:dyDescent="0.45">
      <c r="A30" s="1"/>
      <c r="B30" s="1"/>
      <c r="C30" s="6" t="s">
        <v>59</v>
      </c>
      <c r="D30" s="70" t="s">
        <v>11</v>
      </c>
      <c r="E30" s="71"/>
      <c r="F30" s="71"/>
      <c r="G30" s="72"/>
      <c r="H30" s="1"/>
      <c r="I30" s="1"/>
    </row>
    <row r="31" spans="1:9" x14ac:dyDescent="0.45">
      <c r="A31" s="1"/>
      <c r="B31" s="1"/>
      <c r="C31" s="6" t="s">
        <v>172</v>
      </c>
      <c r="D31" s="64" t="s">
        <v>207</v>
      </c>
      <c r="E31" s="65"/>
      <c r="F31" s="65"/>
      <c r="G31" s="66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9ncy3Ll0v9fqhxzHxW9o8mXph7Xf2XAFTlGHk+nWDIMiQeFu0LWJkSJ4FQnXoymxZfuJdPq9+S77dSayz1pBIA==" saltValue="GhvSoCBQHoYd8xp/DMTOCQ==" spinCount="100000" sheet="1" objects="1" scenarios="1"/>
  <mergeCells count="22"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233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3" t="s">
        <v>66</v>
      </c>
      <c r="C8" s="94"/>
      <c r="D8" s="95"/>
      <c r="E8" s="1"/>
      <c r="F8" s="1"/>
    </row>
    <row r="9" spans="1:6" ht="15" customHeight="1" x14ac:dyDescent="0.45">
      <c r="A9" s="1"/>
      <c r="B9" s="38" t="s">
        <v>49</v>
      </c>
      <c r="C9" s="11" t="s">
        <v>67</v>
      </c>
      <c r="D9" s="11"/>
      <c r="E9" s="1"/>
      <c r="F9" s="1"/>
    </row>
    <row r="10" spans="1:6" x14ac:dyDescent="0.45">
      <c r="A10" s="1"/>
      <c r="B10" s="47" t="s">
        <v>267</v>
      </c>
      <c r="C10" s="9">
        <v>155564</v>
      </c>
      <c r="D10" s="14" t="s">
        <v>3</v>
      </c>
      <c r="E10" s="1"/>
      <c r="F10" s="1"/>
    </row>
    <row r="11" spans="1:6" x14ac:dyDescent="0.45">
      <c r="A11" s="1"/>
      <c r="B11" s="47" t="s">
        <v>268</v>
      </c>
      <c r="C11" s="9">
        <v>36962</v>
      </c>
      <c r="D11" s="14" t="s">
        <v>3</v>
      </c>
      <c r="E11" s="1"/>
      <c r="F11" s="1"/>
    </row>
    <row r="12" spans="1:6" ht="26.65" x14ac:dyDescent="0.45">
      <c r="A12" s="1"/>
      <c r="B12" s="44" t="s">
        <v>269</v>
      </c>
      <c r="C12" s="9">
        <v>5506955</v>
      </c>
      <c r="D12" s="14" t="s">
        <v>3</v>
      </c>
      <c r="E12" s="1"/>
      <c r="F12" s="1"/>
    </row>
    <row r="13" spans="1:6" x14ac:dyDescent="0.45">
      <c r="A13" s="1"/>
      <c r="B13" s="47" t="s">
        <v>270</v>
      </c>
      <c r="C13" s="9">
        <v>640676</v>
      </c>
      <c r="D13" s="14" t="s">
        <v>3</v>
      </c>
      <c r="E13" s="1"/>
      <c r="F13" s="1"/>
    </row>
    <row r="14" spans="1:6" x14ac:dyDescent="0.45">
      <c r="A14" s="1"/>
      <c r="B14" s="47" t="s">
        <v>271</v>
      </c>
      <c r="C14" s="9">
        <v>43797</v>
      </c>
      <c r="D14" s="14" t="s">
        <v>3</v>
      </c>
      <c r="E14" s="1"/>
      <c r="F14" s="1"/>
    </row>
    <row r="15" spans="1:6" x14ac:dyDescent="0.45">
      <c r="A15" s="1"/>
      <c r="B15" s="47" t="s">
        <v>272</v>
      </c>
      <c r="C15" s="9">
        <v>335871</v>
      </c>
      <c r="D15" s="14" t="s">
        <v>3</v>
      </c>
      <c r="E15" s="1"/>
      <c r="F15" s="1"/>
    </row>
    <row r="16" spans="1:6" x14ac:dyDescent="0.45">
      <c r="A16" s="1"/>
      <c r="B16" s="45" t="s">
        <v>68</v>
      </c>
      <c r="C16" s="12">
        <f>SUM(C10:C15)</f>
        <v>6719825</v>
      </c>
      <c r="D16" s="13" t="s">
        <v>3</v>
      </c>
      <c r="E16" s="1"/>
      <c r="F16" s="1"/>
    </row>
    <row r="17" spans="1:6" x14ac:dyDescent="0.45">
      <c r="A17" s="1"/>
      <c r="B17" s="45" t="s">
        <v>69</v>
      </c>
      <c r="C17" s="12">
        <f>C16*(1+'Fane 15. Nøgletal'!C12)^2</f>
        <v>6987194.00188425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93" t="s">
        <v>244</v>
      </c>
      <c r="C20" s="94"/>
      <c r="D20" s="95"/>
      <c r="E20" s="1"/>
      <c r="F20" s="1"/>
    </row>
    <row r="21" spans="1:6" x14ac:dyDescent="0.45">
      <c r="A21" s="1"/>
      <c r="B21" s="47" t="s">
        <v>193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47" t="s">
        <v>194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47" t="s">
        <v>195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47" t="s">
        <v>196</v>
      </c>
      <c r="C24" s="9">
        <v>0</v>
      </c>
      <c r="D24" s="14" t="s">
        <v>3</v>
      </c>
      <c r="E24" s="1"/>
      <c r="F24" s="1"/>
    </row>
    <row r="25" spans="1:6" x14ac:dyDescent="0.45">
      <c r="A25" s="1"/>
      <c r="B25" s="93"/>
      <c r="C25" s="94"/>
      <c r="D25" s="95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93" t="s">
        <v>192</v>
      </c>
      <c r="C28" s="94"/>
      <c r="D28" s="95"/>
      <c r="E28" s="1"/>
      <c r="F28" s="1"/>
    </row>
    <row r="29" spans="1:6" x14ac:dyDescent="0.45">
      <c r="A29" s="1"/>
      <c r="B29" s="47" t="s">
        <v>193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47" t="s">
        <v>194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47" t="s">
        <v>195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47" t="s">
        <v>196</v>
      </c>
      <c r="C32" s="9">
        <v>0</v>
      </c>
      <c r="D32" s="14" t="s">
        <v>3</v>
      </c>
      <c r="E32" s="1"/>
      <c r="F32" s="1"/>
    </row>
    <row r="33" spans="1:6" x14ac:dyDescent="0.45">
      <c r="A33" s="1"/>
      <c r="B33" s="93"/>
      <c r="C33" s="94"/>
      <c r="D33" s="95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rRCBAsC9isoyzBFLKl08d3A5xcpUdvNsrZKMXQva2m0U2kTmbnqRB/TsiRPee8Pys34TfdPbPAJnclgRh9ASHA==" saltValue="2CrNVgm4BtUh1j8ph8CaNQ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4" t="s">
        <v>232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43"/>
      <c r="C6" s="43"/>
      <c r="D6" s="43"/>
      <c r="E6" s="43"/>
      <c r="F6" s="43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179</v>
      </c>
      <c r="C8" s="94"/>
      <c r="D8" s="94"/>
      <c r="E8" s="94"/>
      <c r="F8" s="95"/>
      <c r="G8" s="1"/>
    </row>
    <row r="9" spans="1:7" x14ac:dyDescent="0.45">
      <c r="A9" s="1"/>
      <c r="B9" s="102" t="s">
        <v>180</v>
      </c>
      <c r="C9" s="103"/>
      <c r="D9" s="104"/>
      <c r="E9" s="9">
        <v>57200509.839719772</v>
      </c>
      <c r="F9" s="14" t="s">
        <v>3</v>
      </c>
      <c r="G9" s="1"/>
    </row>
    <row r="10" spans="1:7" x14ac:dyDescent="0.45">
      <c r="A10" s="1"/>
      <c r="B10" s="102" t="s">
        <v>181</v>
      </c>
      <c r="C10" s="103"/>
      <c r="D10" s="104"/>
      <c r="E10" s="9">
        <v>41636470</v>
      </c>
      <c r="F10" s="14" t="s">
        <v>3</v>
      </c>
      <c r="G10" s="1"/>
    </row>
    <row r="11" spans="1:7" x14ac:dyDescent="0.4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45">
      <c r="A12" s="1"/>
      <c r="B12" s="96" t="s">
        <v>182</v>
      </c>
      <c r="C12" s="97"/>
      <c r="D12" s="98"/>
      <c r="E12" s="10">
        <f>E9-(E10-E11)</f>
        <v>15564039.839719772</v>
      </c>
      <c r="F12" s="17" t="s">
        <v>3</v>
      </c>
      <c r="G12" s="1"/>
    </row>
    <row r="13" spans="1:7" x14ac:dyDescent="0.45">
      <c r="A13" s="1"/>
      <c r="B13" s="45"/>
      <c r="C13" s="46"/>
      <c r="D13" s="46"/>
      <c r="E13" s="46"/>
      <c r="F13" s="22"/>
      <c r="G13" s="1"/>
    </row>
    <row r="14" spans="1:7" ht="27.75" customHeight="1" x14ac:dyDescent="0.45">
      <c r="A14" s="1"/>
      <c r="B14" s="75" t="s">
        <v>209</v>
      </c>
      <c r="C14" s="76"/>
      <c r="D14" s="76"/>
      <c r="E14" s="76"/>
      <c r="F14" s="77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93" t="s">
        <v>74</v>
      </c>
      <c r="C17" s="94"/>
      <c r="D17" s="94"/>
      <c r="E17" s="94"/>
      <c r="F17" s="95"/>
      <c r="G17" s="1"/>
    </row>
    <row r="18" spans="1:7" x14ac:dyDescent="0.45">
      <c r="A18" s="1"/>
      <c r="B18" s="102" t="s">
        <v>75</v>
      </c>
      <c r="C18" s="103"/>
      <c r="D18" s="104"/>
      <c r="E18" s="9">
        <v>54399687.330417737</v>
      </c>
      <c r="F18" s="14" t="s">
        <v>3</v>
      </c>
      <c r="G18" s="1"/>
    </row>
    <row r="19" spans="1:7" x14ac:dyDescent="0.45">
      <c r="A19" s="1"/>
      <c r="B19" s="102" t="s">
        <v>76</v>
      </c>
      <c r="C19" s="103"/>
      <c r="D19" s="104"/>
      <c r="E19" s="9">
        <v>45757836</v>
      </c>
      <c r="F19" s="14" t="s">
        <v>3</v>
      </c>
      <c r="G19" s="1"/>
    </row>
    <row r="20" spans="1:7" x14ac:dyDescent="0.4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45">
      <c r="A21" s="1"/>
      <c r="B21" s="96" t="s">
        <v>77</v>
      </c>
      <c r="C21" s="97"/>
      <c r="D21" s="98"/>
      <c r="E21" s="10">
        <f>E18-(E19-E20)</f>
        <v>8641851.3304177374</v>
      </c>
      <c r="F21" s="17" t="s">
        <v>3</v>
      </c>
      <c r="G21" s="1"/>
    </row>
    <row r="22" spans="1:7" x14ac:dyDescent="0.45">
      <c r="A22" s="1"/>
      <c r="B22" s="45"/>
      <c r="C22" s="46"/>
      <c r="D22" s="46"/>
      <c r="E22" s="46"/>
      <c r="F22" s="22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93" t="s">
        <v>201</v>
      </c>
      <c r="C25" s="94"/>
      <c r="D25" s="94"/>
      <c r="E25" s="94"/>
      <c r="F25" s="95"/>
      <c r="G25" s="1"/>
    </row>
    <row r="26" spans="1:7" x14ac:dyDescent="0.4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4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45">
      <c r="A28" s="1"/>
      <c r="B28" s="96" t="s">
        <v>210</v>
      </c>
      <c r="C28" s="97"/>
      <c r="D28" s="98"/>
      <c r="E28" s="10">
        <f>E26/E27</f>
        <v>0</v>
      </c>
      <c r="F28" s="17" t="s">
        <v>3</v>
      </c>
      <c r="G28" s="1"/>
    </row>
    <row r="29" spans="1:7" x14ac:dyDescent="0.45">
      <c r="A29" s="1"/>
      <c r="B29" s="114"/>
      <c r="C29" s="115"/>
      <c r="D29" s="115"/>
      <c r="E29" s="115"/>
      <c r="F29" s="116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9uDFEfCrJKwLOmS0dRHB860GWf4p9rEKDhP9C8OjbtAK+oAM5lfP1B6apLms3fFfhdeZ2fWwdI/u3llFdw4Czw==" saltValue="/z8vMrG1OeaZOSuMgT0WQ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7:D27"/>
    <mergeCell ref="B28:D28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4" t="s">
        <v>260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3" t="s">
        <v>174</v>
      </c>
      <c r="C9" s="94"/>
      <c r="D9" s="94"/>
      <c r="E9" s="94"/>
      <c r="F9" s="94"/>
      <c r="G9" s="1"/>
    </row>
    <row r="10" spans="1:7" x14ac:dyDescent="0.45">
      <c r="A10" s="1"/>
      <c r="B10" s="75" t="s">
        <v>197</v>
      </c>
      <c r="C10" s="76"/>
      <c r="D10" s="77"/>
      <c r="E10" s="7">
        <v>0</v>
      </c>
      <c r="F10" s="8" t="s">
        <v>3</v>
      </c>
      <c r="G10" s="1"/>
    </row>
    <row r="11" spans="1:7" x14ac:dyDescent="0.4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45">
      <c r="A12" s="1"/>
      <c r="B12" s="96" t="s">
        <v>199</v>
      </c>
      <c r="C12" s="97"/>
      <c r="D12" s="98"/>
      <c r="E12" s="10">
        <f>E11-E10</f>
        <v>0</v>
      </c>
      <c r="F12" s="11" t="s">
        <v>3</v>
      </c>
      <c r="G12" s="1"/>
    </row>
    <row r="13" spans="1:7" x14ac:dyDescent="0.45">
      <c r="A13" s="1"/>
      <c r="B13" s="93" t="s">
        <v>175</v>
      </c>
      <c r="C13" s="94"/>
      <c r="D13" s="94"/>
      <c r="E13" s="94"/>
      <c r="F13" s="94"/>
      <c r="G13" s="1"/>
    </row>
    <row r="14" spans="1:7" x14ac:dyDescent="0.45">
      <c r="A14" s="1"/>
      <c r="B14" s="102" t="s">
        <v>218</v>
      </c>
      <c r="C14" s="103"/>
      <c r="D14" s="104"/>
      <c r="E14" s="9">
        <v>0</v>
      </c>
      <c r="F14" s="8" t="s">
        <v>3</v>
      </c>
      <c r="G14" s="1"/>
    </row>
    <row r="15" spans="1:7" x14ac:dyDescent="0.45">
      <c r="A15" s="1"/>
      <c r="B15" s="75" t="s">
        <v>219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96" t="s">
        <v>199</v>
      </c>
      <c r="C16" s="97"/>
      <c r="D16" s="98"/>
      <c r="E16" s="10">
        <f>E15-E14</f>
        <v>0</v>
      </c>
      <c r="F16" s="11" t="s">
        <v>3</v>
      </c>
      <c r="G16" s="1"/>
    </row>
    <row r="17" spans="1:7" ht="15" customHeight="1" x14ac:dyDescent="0.45">
      <c r="A17" s="1"/>
      <c r="B17" s="93" t="s">
        <v>170</v>
      </c>
      <c r="C17" s="94"/>
      <c r="D17" s="94"/>
      <c r="E17" s="94"/>
      <c r="F17" s="94"/>
      <c r="G17" s="1"/>
    </row>
    <row r="18" spans="1:7" ht="28.15" customHeight="1" x14ac:dyDescent="0.45">
      <c r="A18" s="1"/>
      <c r="B18" s="75" t="s">
        <v>266</v>
      </c>
      <c r="C18" s="76"/>
      <c r="D18" s="77"/>
      <c r="E18" s="9">
        <v>0</v>
      </c>
      <c r="F18" s="8" t="s">
        <v>3</v>
      </c>
      <c r="G18" s="1"/>
    </row>
    <row r="19" spans="1:7" ht="29.25" customHeight="1" x14ac:dyDescent="0.45">
      <c r="A19" s="1"/>
      <c r="B19" s="78" t="s">
        <v>178</v>
      </c>
      <c r="C19" s="79"/>
      <c r="D19" s="80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45">
      <c r="A20" s="1"/>
      <c r="B20" s="45" t="s">
        <v>190</v>
      </c>
      <c r="C20" s="46"/>
      <c r="D20" s="46"/>
      <c r="E20" s="12">
        <f>E12+E16+E19</f>
        <v>0</v>
      </c>
      <c r="F20" s="13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otlqgkS9omK9KItL3pJmCqiUvVx+FYAW6kZUWo1n4Rt4ssu4GgvPSCpmO0aelaSXqLfwNSc1SRmV0nSFqT3ECg==" saltValue="7aOwmNBgDPsJSfCZtHsKZ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262</v>
      </c>
      <c r="C8" s="94"/>
      <c r="D8" s="94"/>
      <c r="E8" s="94"/>
      <c r="F8" s="94"/>
      <c r="G8" s="94"/>
      <c r="H8" s="95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2"/>
      <c r="I9" s="1"/>
    </row>
    <row r="10" spans="1:9" ht="39.75" x14ac:dyDescent="0.45">
      <c r="A10" s="1"/>
      <c r="B10" s="51" t="s">
        <v>274</v>
      </c>
      <c r="C10" s="126">
        <v>50</v>
      </c>
      <c r="D10" s="9">
        <v>1326197</v>
      </c>
      <c r="E10" s="9">
        <f>IFERROR(D10/C10,0)</f>
        <v>26523.94</v>
      </c>
      <c r="F10" s="9">
        <v>0</v>
      </c>
      <c r="G10" s="9">
        <v>21036.47</v>
      </c>
      <c r="H10" s="14" t="s">
        <v>3</v>
      </c>
      <c r="I10" s="1"/>
    </row>
    <row r="11" spans="1:9" ht="39.75" x14ac:dyDescent="0.45">
      <c r="A11" s="1"/>
      <c r="B11" s="51" t="s">
        <v>275</v>
      </c>
      <c r="C11" s="126">
        <v>20</v>
      </c>
      <c r="D11" s="9">
        <v>1350749</v>
      </c>
      <c r="E11" s="9">
        <v>0</v>
      </c>
      <c r="F11" s="9">
        <v>0</v>
      </c>
      <c r="G11" s="9">
        <v>21430.32</v>
      </c>
      <c r="H11" s="14" t="s">
        <v>3</v>
      </c>
      <c r="I11" s="1"/>
    </row>
    <row r="12" spans="1:9" ht="26.65" x14ac:dyDescent="0.45">
      <c r="A12" s="1"/>
      <c r="B12" s="51" t="s">
        <v>276</v>
      </c>
      <c r="C12" s="126">
        <v>10</v>
      </c>
      <c r="D12" s="9">
        <v>68837</v>
      </c>
      <c r="E12" s="9">
        <v>0</v>
      </c>
      <c r="F12" s="9">
        <v>0</v>
      </c>
      <c r="G12" s="9">
        <v>1088.8900000000001</v>
      </c>
      <c r="H12" s="14" t="s">
        <v>3</v>
      </c>
      <c r="I12" s="1"/>
    </row>
    <row r="13" spans="1:9" x14ac:dyDescent="0.45">
      <c r="A13" s="1"/>
      <c r="B13" s="51" t="s">
        <v>277</v>
      </c>
      <c r="C13" s="126">
        <v>75</v>
      </c>
      <c r="D13" s="9">
        <v>29178</v>
      </c>
      <c r="E13" s="9">
        <v>0</v>
      </c>
      <c r="F13" s="9">
        <v>0</v>
      </c>
      <c r="G13" s="9">
        <v>463.36</v>
      </c>
      <c r="H13" s="14" t="s">
        <v>3</v>
      </c>
      <c r="I13" s="1"/>
    </row>
    <row r="14" spans="1:9" ht="26.65" x14ac:dyDescent="0.45">
      <c r="A14" s="1"/>
      <c r="B14" s="51" t="s">
        <v>278</v>
      </c>
      <c r="C14" s="126">
        <v>75</v>
      </c>
      <c r="D14" s="9">
        <v>129778</v>
      </c>
      <c r="E14" s="9">
        <v>0</v>
      </c>
      <c r="F14" s="9">
        <v>0</v>
      </c>
      <c r="G14" s="9">
        <v>2038.78</v>
      </c>
      <c r="H14" s="14" t="s">
        <v>3</v>
      </c>
      <c r="I14" s="1"/>
    </row>
    <row r="15" spans="1:9" x14ac:dyDescent="0.45">
      <c r="A15" s="1"/>
      <c r="B15" s="51" t="s">
        <v>279</v>
      </c>
      <c r="C15" s="126">
        <v>75</v>
      </c>
      <c r="D15" s="9">
        <v>12984</v>
      </c>
      <c r="E15" s="9">
        <v>0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51" t="s">
        <v>278</v>
      </c>
      <c r="C16" s="126">
        <v>75</v>
      </c>
      <c r="D16" s="9">
        <v>424984</v>
      </c>
      <c r="E16" s="9">
        <v>0</v>
      </c>
      <c r="F16" s="9">
        <v>0</v>
      </c>
      <c r="G16" s="9">
        <v>0</v>
      </c>
      <c r="H16" s="14" t="s">
        <v>3</v>
      </c>
      <c r="I16" s="1"/>
    </row>
    <row r="17" spans="1:9" x14ac:dyDescent="0.45">
      <c r="A17" s="1"/>
      <c r="B17" s="51" t="s">
        <v>277</v>
      </c>
      <c r="C17" s="126">
        <v>75</v>
      </c>
      <c r="D17" s="9">
        <v>146240</v>
      </c>
      <c r="E17" s="9">
        <f t="shared" ref="E17:E18" si="0">IFERROR(D17/C17,0)</f>
        <v>1949.8666666666666</v>
      </c>
      <c r="F17" s="9">
        <v>0</v>
      </c>
      <c r="G17" s="9">
        <v>0</v>
      </c>
      <c r="H17" s="14" t="s">
        <v>3</v>
      </c>
      <c r="I17" s="1"/>
    </row>
    <row r="18" spans="1:9" x14ac:dyDescent="0.45">
      <c r="A18" s="1"/>
      <c r="B18" s="51" t="s">
        <v>280</v>
      </c>
      <c r="C18" s="126">
        <v>75</v>
      </c>
      <c r="D18" s="9">
        <v>32620</v>
      </c>
      <c r="E18" s="9">
        <f t="shared" si="0"/>
        <v>434.93333333333334</v>
      </c>
      <c r="F18" s="9">
        <v>0</v>
      </c>
      <c r="G18" s="9">
        <v>0</v>
      </c>
      <c r="H18" s="14" t="s">
        <v>3</v>
      </c>
      <c r="I18" s="1"/>
    </row>
    <row r="19" spans="1:9" x14ac:dyDescent="0.45">
      <c r="A19" s="1"/>
      <c r="B19" s="93" t="s">
        <v>263</v>
      </c>
      <c r="C19" s="94"/>
      <c r="D19" s="95"/>
      <c r="E19" s="12">
        <f>SUM(E10:E18)</f>
        <v>28908.739999999998</v>
      </c>
      <c r="F19" s="12">
        <f>SUM(F10:F18)</f>
        <v>0</v>
      </c>
      <c r="G19" s="12">
        <f>SUM(G10:G18)</f>
        <v>46057.82</v>
      </c>
      <c r="H19" s="13" t="s">
        <v>3</v>
      </c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ycpofDK2YBXwLswOPXd3KScmuzSNbnd+JuX+FYs+oMDCvY9yeU6lXR1DX8NjYFlvxsij7lf12um0VHvln6oMfw==" saltValue="epEIeAXEPGcM8H0O/VTOlw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4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45">
      <c r="A10" s="1"/>
      <c r="B10" s="27" t="s">
        <v>281</v>
      </c>
      <c r="C10" s="24">
        <f>'Fane 9. Anlægsprojekter'!F19</f>
        <v>0</v>
      </c>
      <c r="D10" s="14" t="s">
        <v>3</v>
      </c>
      <c r="E10" s="9">
        <f>SUM('Fane 9. Anlægsprojekter'!E19,'Fane 9. Anlægsprojekter'!G19)</f>
        <v>74966.559999999998</v>
      </c>
      <c r="F10" s="14" t="s">
        <v>3</v>
      </c>
      <c r="G10" s="1"/>
    </row>
    <row r="11" spans="1:7" x14ac:dyDescent="0.45">
      <c r="A11" s="1"/>
      <c r="B11" s="45" t="s">
        <v>60</v>
      </c>
      <c r="C11" s="12">
        <f>SUM(C10:C10)</f>
        <v>0</v>
      </c>
      <c r="D11" s="13" t="s">
        <v>3</v>
      </c>
      <c r="E11" s="12">
        <f>SUM(E10:E10)</f>
        <v>74966.559999999998</v>
      </c>
      <c r="F11" s="13" t="s">
        <v>3</v>
      </c>
      <c r="G11" s="1"/>
    </row>
    <row r="12" spans="1:7" x14ac:dyDescent="0.45">
      <c r="A12" s="1"/>
      <c r="B12" s="45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76443.401232000004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PJ2Ot01K/ktxozWlZeWu5eSEcIdpzIv20CWa888R+7bSivIMd7QrCw0lvSKviHNZgCMpZVuRk2CJnHEnub9URw==" saltValue="vyKA4fSkEnLhUt5RhnQk+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183</v>
      </c>
      <c r="C8" s="94"/>
      <c r="D8" s="94"/>
      <c r="E8" s="94"/>
      <c r="F8" s="95"/>
      <c r="G8" s="1"/>
    </row>
    <row r="9" spans="1:7" x14ac:dyDescent="0.4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45">
      <c r="A10" s="1"/>
      <c r="B10" s="27" t="s">
        <v>273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45">
      <c r="A14" s="1"/>
      <c r="B14" s="45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3" t="s">
        <v>184</v>
      </c>
      <c r="C16" s="94"/>
      <c r="D16" s="94"/>
      <c r="E16" s="94"/>
      <c r="F16" s="95"/>
      <c r="G16" s="1"/>
    </row>
    <row r="17" spans="1:7" x14ac:dyDescent="0.45">
      <c r="A17" s="1"/>
      <c r="B17" s="39" t="s">
        <v>25</v>
      </c>
      <c r="C17" s="39" t="s">
        <v>16</v>
      </c>
      <c r="D17" s="40"/>
      <c r="E17" s="39" t="s">
        <v>48</v>
      </c>
      <c r="F17" s="42"/>
      <c r="G17" s="1"/>
    </row>
    <row r="18" spans="1:7" x14ac:dyDescent="0.45">
      <c r="A18" s="1"/>
      <c r="B18" s="27" t="s">
        <v>273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45">
      <c r="A22" s="1"/>
      <c r="B22" s="45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3" t="s">
        <v>185</v>
      </c>
      <c r="C24" s="94"/>
      <c r="D24" s="94"/>
      <c r="E24" s="94"/>
      <c r="F24" s="95"/>
      <c r="G24" s="1"/>
    </row>
    <row r="25" spans="1:7" x14ac:dyDescent="0.45">
      <c r="A25" s="1"/>
      <c r="B25" s="39" t="s">
        <v>25</v>
      </c>
      <c r="C25" s="39" t="s">
        <v>16</v>
      </c>
      <c r="D25" s="40"/>
      <c r="E25" s="39" t="s">
        <v>48</v>
      </c>
      <c r="F25" s="42"/>
      <c r="G25" s="1"/>
    </row>
    <row r="26" spans="1:7" x14ac:dyDescent="0.45">
      <c r="A26" s="1"/>
      <c r="B26" s="27" t="s">
        <v>273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45">
      <c r="A30" s="1"/>
      <c r="B30" s="45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3" t="s">
        <v>186</v>
      </c>
      <c r="C32" s="94"/>
      <c r="D32" s="94"/>
      <c r="E32" s="94"/>
      <c r="F32" s="95"/>
      <c r="G32" s="1"/>
    </row>
    <row r="33" spans="1:7" x14ac:dyDescent="0.45">
      <c r="A33" s="1"/>
      <c r="B33" s="39" t="s">
        <v>25</v>
      </c>
      <c r="C33" s="39" t="s">
        <v>16</v>
      </c>
      <c r="D33" s="40"/>
      <c r="E33" s="39" t="s">
        <v>48</v>
      </c>
      <c r="F33" s="42"/>
      <c r="G33" s="1"/>
    </row>
    <row r="34" spans="1:7" x14ac:dyDescent="0.45">
      <c r="A34" s="1"/>
      <c r="B34" s="27" t="s">
        <v>273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45">
      <c r="A38" s="1"/>
      <c r="B38" s="45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f9MDg1VvBKUedKRBTR/sZobHh/MhFbC47mOvJK2OJtle0xA2+KrlhRpZ2jz8xJ5yulEoQzjVr5GMGAYFCmITg==" saltValue="3J14w+5pR5tUSjY0yL0br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243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84"/>
      <c r="C5" s="84"/>
      <c r="D5" s="84"/>
      <c r="E5" s="84"/>
      <c r="F5" s="8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158</v>
      </c>
      <c r="C8" s="94"/>
      <c r="D8" s="94"/>
      <c r="E8" s="94"/>
      <c r="F8" s="95"/>
      <c r="G8" s="1"/>
    </row>
    <row r="9" spans="1:7" x14ac:dyDescent="0.45">
      <c r="A9" s="1"/>
      <c r="B9" s="117" t="s">
        <v>157</v>
      </c>
      <c r="C9" s="118"/>
      <c r="D9" s="119"/>
      <c r="E9" s="9">
        <v>0</v>
      </c>
      <c r="F9" s="14" t="s">
        <v>3</v>
      </c>
      <c r="G9" s="1"/>
    </row>
    <row r="10" spans="1:7" x14ac:dyDescent="0.45">
      <c r="A10" s="1"/>
      <c r="B10" s="120" t="s">
        <v>10</v>
      </c>
      <c r="C10" s="121"/>
      <c r="D10" s="122"/>
      <c r="E10" s="9">
        <f>-E9*'Fane 5. Individuelt eff. krav'!G10</f>
        <v>0</v>
      </c>
      <c r="F10" s="14" t="s">
        <v>3</v>
      </c>
      <c r="G10" s="1"/>
    </row>
    <row r="11" spans="1:7" x14ac:dyDescent="0.45">
      <c r="A11" s="1"/>
      <c r="B11" s="120" t="s">
        <v>39</v>
      </c>
      <c r="C11" s="121"/>
      <c r="D11" s="122"/>
      <c r="E11" s="9">
        <f>-E9*'Fane 15. Nøgletal'!C25</f>
        <v>0</v>
      </c>
      <c r="F11" s="14" t="s">
        <v>3</v>
      </c>
      <c r="G11" s="1"/>
    </row>
    <row r="12" spans="1:7" x14ac:dyDescent="0.45">
      <c r="A12" s="1"/>
      <c r="B12" s="93" t="s">
        <v>162</v>
      </c>
      <c r="C12" s="94"/>
      <c r="D12" s="95"/>
      <c r="E12" s="12">
        <f>SUM(E9:E11)*(1+'Fane 15. Nøgletal'!C10)^2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3" t="s">
        <v>159</v>
      </c>
      <c r="C14" s="94"/>
      <c r="D14" s="94"/>
      <c r="E14" s="94"/>
      <c r="F14" s="95"/>
      <c r="G14" s="1"/>
    </row>
    <row r="15" spans="1:7" x14ac:dyDescent="0.45">
      <c r="A15" s="1"/>
      <c r="B15" s="117" t="s">
        <v>157</v>
      </c>
      <c r="C15" s="118"/>
      <c r="D15" s="119"/>
      <c r="E15" s="9">
        <v>0</v>
      </c>
      <c r="F15" s="14" t="s">
        <v>3</v>
      </c>
      <c r="G15" s="1"/>
    </row>
    <row r="16" spans="1:7" x14ac:dyDescent="0.45">
      <c r="A16" s="1"/>
      <c r="B16" s="120" t="s">
        <v>10</v>
      </c>
      <c r="C16" s="121"/>
      <c r="D16" s="122"/>
      <c r="E16" s="9">
        <f>-E15*'Fane 5. Individuelt eff. krav'!G10</f>
        <v>0</v>
      </c>
      <c r="F16" s="14" t="s">
        <v>3</v>
      </c>
      <c r="G16" s="1"/>
    </row>
    <row r="17" spans="1:7" x14ac:dyDescent="0.45">
      <c r="A17" s="1"/>
      <c r="B17" s="120" t="s">
        <v>39</v>
      </c>
      <c r="C17" s="121"/>
      <c r="D17" s="122"/>
      <c r="E17" s="9">
        <f>-E15*'Fane 15. Nøgletal'!C25</f>
        <v>0</v>
      </c>
      <c r="F17" s="14" t="s">
        <v>3</v>
      </c>
      <c r="G17" s="1"/>
    </row>
    <row r="18" spans="1:7" x14ac:dyDescent="0.45">
      <c r="A18" s="1"/>
      <c r="B18" s="93" t="s">
        <v>163</v>
      </c>
      <c r="C18" s="94"/>
      <c r="D18" s="95"/>
      <c r="E18" s="12">
        <f>SUM(E15:E17)*(1+'Fane 15. Nøgletal'!C10)^3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3" t="s">
        <v>160</v>
      </c>
      <c r="C20" s="94"/>
      <c r="D20" s="94"/>
      <c r="E20" s="94"/>
      <c r="F20" s="95"/>
      <c r="G20" s="1"/>
    </row>
    <row r="21" spans="1:7" x14ac:dyDescent="0.45">
      <c r="A21" s="1"/>
      <c r="B21" s="117" t="s">
        <v>157</v>
      </c>
      <c r="C21" s="118"/>
      <c r="D21" s="119"/>
      <c r="E21" s="9">
        <v>0</v>
      </c>
      <c r="F21" s="14" t="s">
        <v>3</v>
      </c>
      <c r="G21" s="1"/>
    </row>
    <row r="22" spans="1:7" x14ac:dyDescent="0.45">
      <c r="A22" s="1"/>
      <c r="B22" s="120" t="s">
        <v>10</v>
      </c>
      <c r="C22" s="121"/>
      <c r="D22" s="122"/>
      <c r="E22" s="9">
        <f>-E21*'Fane 5. Individuelt eff. krav'!G10</f>
        <v>0</v>
      </c>
      <c r="F22" s="14" t="s">
        <v>3</v>
      </c>
      <c r="G22" s="1"/>
    </row>
    <row r="23" spans="1:7" x14ac:dyDescent="0.45">
      <c r="A23" s="1"/>
      <c r="B23" s="120" t="s">
        <v>39</v>
      </c>
      <c r="C23" s="121"/>
      <c r="D23" s="122"/>
      <c r="E23" s="9">
        <f>-E21*'Fane 15. Nøgletal'!C25</f>
        <v>0</v>
      </c>
      <c r="F23" s="14" t="s">
        <v>3</v>
      </c>
      <c r="G23" s="1"/>
    </row>
    <row r="24" spans="1:7" x14ac:dyDescent="0.45">
      <c r="A24" s="1"/>
      <c r="B24" s="93" t="s">
        <v>164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3" t="s">
        <v>161</v>
      </c>
      <c r="C26" s="94"/>
      <c r="D26" s="94"/>
      <c r="E26" s="94"/>
      <c r="F26" s="95"/>
      <c r="G26" s="1"/>
    </row>
    <row r="27" spans="1:7" x14ac:dyDescent="0.45">
      <c r="A27" s="1"/>
      <c r="B27" s="117" t="s">
        <v>157</v>
      </c>
      <c r="C27" s="118"/>
      <c r="D27" s="119"/>
      <c r="E27" s="9">
        <v>0</v>
      </c>
      <c r="F27" s="14" t="s">
        <v>3</v>
      </c>
      <c r="G27" s="1"/>
    </row>
    <row r="28" spans="1:7" x14ac:dyDescent="0.45">
      <c r="A28" s="1"/>
      <c r="B28" s="120" t="s">
        <v>10</v>
      </c>
      <c r="C28" s="121"/>
      <c r="D28" s="122"/>
      <c r="E28" s="9">
        <f>-E27*'Fane 5. Individuelt eff. krav'!G10</f>
        <v>0</v>
      </c>
      <c r="F28" s="14" t="s">
        <v>3</v>
      </c>
      <c r="G28" s="1"/>
    </row>
    <row r="29" spans="1:7" x14ac:dyDescent="0.45">
      <c r="A29" s="1"/>
      <c r="B29" s="120" t="s">
        <v>39</v>
      </c>
      <c r="C29" s="121"/>
      <c r="D29" s="122"/>
      <c r="E29" s="9">
        <f>-E27*'Fane 15. Nøgletal'!C25</f>
        <v>0</v>
      </c>
      <c r="F29" s="14" t="s">
        <v>3</v>
      </c>
      <c r="G29" s="1"/>
    </row>
    <row r="30" spans="1:7" x14ac:dyDescent="0.45">
      <c r="A30" s="1"/>
      <c r="B30" s="93" t="s">
        <v>165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MF23t3u2hpLRqoJKLo6OQlfEnUDe4syVdXE/TzI6Efsal1+cIUKTXmsxTFDcq21FOJ6BfUW8jcnRE6TeS4MuOg==" saltValue="FTO/tW9biHxTmU+Jcd8b+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229</v>
      </c>
      <c r="C3" s="84"/>
      <c r="D3" s="84"/>
      <c r="E3" s="84"/>
      <c r="F3" s="84"/>
      <c r="G3" s="1"/>
    </row>
    <row r="4" spans="1:7" ht="25.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45">
      <c r="A9" s="1"/>
      <c r="B9" s="41" t="s">
        <v>33</v>
      </c>
      <c r="C9" s="78" t="s">
        <v>16</v>
      </c>
      <c r="D9" s="80"/>
      <c r="E9" s="81" t="s">
        <v>48</v>
      </c>
      <c r="F9" s="83"/>
      <c r="G9" s="1"/>
    </row>
    <row r="10" spans="1:7" x14ac:dyDescent="0.4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cAL3Njs0GAKplSOHVqOytQO8Kexr+XyzUmCfbXgWLmqQyuZu+X0ZawMutQOUAmdxlTXriyIHOL5NelL13Er/2Q==" saltValue="tFqzv6OhklwORkwuevh7k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227</v>
      </c>
      <c r="C3" s="84"/>
      <c r="D3" s="84"/>
      <c r="E3" s="84"/>
      <c r="F3" s="84"/>
      <c r="G3" s="1"/>
    </row>
    <row r="4" spans="1:7" ht="25.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167</v>
      </c>
      <c r="C8" s="94"/>
      <c r="D8" s="94"/>
      <c r="E8" s="94"/>
      <c r="F8" s="95"/>
      <c r="G8" s="1"/>
    </row>
    <row r="9" spans="1:7" ht="15" customHeight="1" x14ac:dyDescent="0.45">
      <c r="A9" s="1"/>
      <c r="B9" s="41" t="s">
        <v>26</v>
      </c>
      <c r="C9" s="41" t="s">
        <v>16</v>
      </c>
      <c r="D9" s="42"/>
      <c r="E9" s="41" t="s">
        <v>48</v>
      </c>
      <c r="F9" s="42"/>
      <c r="G9" s="1"/>
    </row>
    <row r="10" spans="1:7" x14ac:dyDescent="0.4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3" t="s">
        <v>168</v>
      </c>
      <c r="C14" s="94"/>
      <c r="D14" s="94"/>
      <c r="E14" s="94"/>
      <c r="F14" s="95"/>
      <c r="G14" s="1"/>
    </row>
    <row r="15" spans="1:7" x14ac:dyDescent="0.45">
      <c r="A15" s="1"/>
      <c r="B15" s="41" t="s">
        <v>26</v>
      </c>
      <c r="C15" s="41" t="s">
        <v>16</v>
      </c>
      <c r="D15" s="42"/>
      <c r="E15" s="41" t="s">
        <v>48</v>
      </c>
      <c r="F15" s="42"/>
      <c r="G15" s="1"/>
    </row>
    <row r="16" spans="1:7" x14ac:dyDescent="0.4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45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45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3" t="s">
        <v>166</v>
      </c>
      <c r="C20" s="94"/>
      <c r="D20" s="94"/>
      <c r="E20" s="94"/>
      <c r="F20" s="95"/>
      <c r="G20" s="1"/>
    </row>
    <row r="21" spans="1:7" x14ac:dyDescent="0.45">
      <c r="A21" s="1"/>
      <c r="B21" s="41" t="s">
        <v>26</v>
      </c>
      <c r="C21" s="41" t="s">
        <v>16</v>
      </c>
      <c r="D21" s="42"/>
      <c r="E21" s="41" t="s">
        <v>48</v>
      </c>
      <c r="F21" s="42"/>
      <c r="G21" s="1"/>
    </row>
    <row r="22" spans="1:7" x14ac:dyDescent="0.4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45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45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3" t="s">
        <v>169</v>
      </c>
      <c r="C26" s="94"/>
      <c r="D26" s="94"/>
      <c r="E26" s="94"/>
      <c r="F26" s="95"/>
      <c r="G26" s="1"/>
    </row>
    <row r="27" spans="1:7" x14ac:dyDescent="0.45">
      <c r="A27" s="1"/>
      <c r="B27" s="41" t="s">
        <v>26</v>
      </c>
      <c r="C27" s="41" t="s">
        <v>16</v>
      </c>
      <c r="D27" s="42"/>
      <c r="E27" s="41" t="s">
        <v>48</v>
      </c>
      <c r="F27" s="42"/>
      <c r="G27" s="1"/>
    </row>
    <row r="28" spans="1:7" x14ac:dyDescent="0.4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45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45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cHhH5I1LstvNluUKY8mwml/KGxaiPRsBp0RF+z4lx5VPNFfRcb5ABr4x8D5F4VYqTJRvyi88DYbeMM0aqV4igw==" saltValue="11F2nE6kYbbKNyaPFKD5V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102" t="s">
        <v>12</v>
      </c>
      <c r="C9" s="103"/>
      <c r="D9" s="103"/>
      <c r="E9" s="103"/>
      <c r="F9" s="104"/>
      <c r="G9" s="9">
        <v>25920000</v>
      </c>
      <c r="H9" s="14" t="s">
        <v>3</v>
      </c>
      <c r="I9" s="1"/>
    </row>
    <row r="10" spans="1:9" x14ac:dyDescent="0.4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45">
      <c r="A11" s="1"/>
      <c r="B11" s="102" t="s">
        <v>78</v>
      </c>
      <c r="C11" s="103"/>
      <c r="D11" s="103"/>
      <c r="E11" s="103"/>
      <c r="F11" s="104"/>
      <c r="G11" s="9">
        <v>-23282652.777777776</v>
      </c>
      <c r="H11" s="14" t="s">
        <v>3</v>
      </c>
      <c r="I11" s="1"/>
    </row>
    <row r="12" spans="1:9" x14ac:dyDescent="0.45">
      <c r="A12" s="1"/>
      <c r="B12" s="123" t="s">
        <v>15</v>
      </c>
      <c r="C12" s="124"/>
      <c r="D12" s="124"/>
      <c r="E12" s="124"/>
      <c r="F12" s="125"/>
      <c r="G12" s="19">
        <f>(G9+G10)+G11</f>
        <v>2637347.2222222239</v>
      </c>
      <c r="H12" s="18" t="s">
        <v>3</v>
      </c>
      <c r="I12" s="1"/>
    </row>
    <row r="13" spans="1:9" x14ac:dyDescent="0.4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28</v>
      </c>
      <c r="I13" s="1"/>
    </row>
    <row r="14" spans="1:9" x14ac:dyDescent="0.45">
      <c r="A14" s="1"/>
      <c r="B14" s="93" t="s">
        <v>136</v>
      </c>
      <c r="C14" s="94"/>
      <c r="D14" s="94"/>
      <c r="E14" s="94"/>
      <c r="F14" s="95"/>
      <c r="G14" s="12">
        <f>IF(G13 = 0,0,-G12/G13)</f>
        <v>-2637347.2222222239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cdIy+ZSY+2TyxD9DjA5x1yIJjc6QTCPhlZyuOuMnr078AvY9svHaHinf/ZWf9RkDp6obpHIkb0EW2cSrc0pfg==" saltValue="1FPy85fecGd8cwWDpKW3c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20</v>
      </c>
      <c r="C8" s="46"/>
      <c r="D8" s="22"/>
      <c r="E8" s="1"/>
    </row>
    <row r="9" spans="1:5" x14ac:dyDescent="0.45">
      <c r="A9" s="1"/>
      <c r="B9" s="44" t="s">
        <v>35</v>
      </c>
      <c r="C9" s="7">
        <f>'Fane 3. Omkostninger i ØR2019'!E20</f>
        <v>50758695.447495483</v>
      </c>
      <c r="D9" s="8" t="s">
        <v>3</v>
      </c>
      <c r="E9" s="1"/>
    </row>
    <row r="10" spans="1:5" x14ac:dyDescent="0.4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4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232271.85601488626</v>
      </c>
      <c r="D11" s="8" t="s">
        <v>3</v>
      </c>
      <c r="E11" s="1"/>
    </row>
    <row r="12" spans="1:5" ht="17.100000000000001" customHeight="1" x14ac:dyDescent="0.45">
      <c r="A12" s="1"/>
      <c r="B12" s="50" t="s">
        <v>64</v>
      </c>
      <c r="C12" s="7">
        <f>'Fane 10.1. Varige tillæg'!C12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65</v>
      </c>
      <c r="C13" s="9">
        <f>'Fane 10.1. Varige tillæg'!E12</f>
        <v>76443.401232000004</v>
      </c>
      <c r="D13" s="8" t="s">
        <v>3</v>
      </c>
      <c r="E13" s="1"/>
    </row>
    <row r="14" spans="1:5" ht="17.100000000000001" customHeight="1" x14ac:dyDescent="0.45">
      <c r="A14" s="1"/>
      <c r="B14" s="50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45">
      <c r="A17" s="1"/>
      <c r="B17" s="50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45">
      <c r="A18" s="1"/>
      <c r="B18" s="50" t="s">
        <v>27</v>
      </c>
      <c r="C18" s="9">
        <f>(C9-SUM(C10:C11))*'Fane 15. Nøgletal'!C10+SUM(C10:C11)*'Fane 15. Nøgletal'!C11+SUM('Fane 2.1. Økonomisk ramme 2020'!C12:C17)*'Fane 15. Nøgletal'!C12</f>
        <v>889643.74222183251</v>
      </c>
      <c r="D18" s="8" t="s">
        <v>3</v>
      </c>
      <c r="E18" s="1"/>
    </row>
    <row r="19" spans="1:5" ht="17.100000000000001" customHeight="1" x14ac:dyDescent="0.45">
      <c r="A19" s="1"/>
      <c r="B19" s="50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45">
      <c r="A20" s="1"/>
      <c r="B20" s="50" t="s">
        <v>39</v>
      </c>
      <c r="C20" s="9">
        <f>-'Fane 4.1. Gen. krav - drift'!G28</f>
        <v>-230579.82397626882</v>
      </c>
      <c r="D20" s="8" t="s">
        <v>3</v>
      </c>
      <c r="E20" s="1"/>
    </row>
    <row r="21" spans="1:5" ht="17.100000000000001" customHeight="1" x14ac:dyDescent="0.45">
      <c r="A21" s="1"/>
      <c r="B21" s="50" t="s">
        <v>40</v>
      </c>
      <c r="C21" s="9">
        <f>-'Fane 4.2. Gen. krav - anlæg'!G26</f>
        <v>-714391.21416652191</v>
      </c>
      <c r="D21" s="8" t="s">
        <v>3</v>
      </c>
      <c r="E21" s="1"/>
    </row>
    <row r="22" spans="1:5" ht="17.100000000000001" customHeight="1" x14ac:dyDescent="0.45">
      <c r="A22" s="1"/>
      <c r="B22" s="36" t="s">
        <v>29</v>
      </c>
      <c r="C22" s="10">
        <f>SUM(C9,C12:C21)</f>
        <v>50779811.552806519</v>
      </c>
      <c r="D22" s="11" t="s">
        <v>3</v>
      </c>
      <c r="E22" s="1"/>
    </row>
    <row r="23" spans="1:5" ht="15" customHeight="1" x14ac:dyDescent="0.45">
      <c r="A23" s="1"/>
      <c r="B23" s="45" t="s">
        <v>17</v>
      </c>
      <c r="C23" s="46"/>
      <c r="D23" s="22"/>
      <c r="E23" s="1"/>
    </row>
    <row r="24" spans="1:5" ht="15" customHeight="1" x14ac:dyDescent="0.45">
      <c r="A24" s="1"/>
      <c r="B24" s="41" t="s">
        <v>17</v>
      </c>
      <c r="C24" s="10">
        <f>'Fane 6. Ikke-påvirkelige omk.'!C17+'Fane 6. Ikke-påvirkelige omk.'!C21+'Fane 6. Ikke-påvirkelige omk.'!C29</f>
        <v>6987194.00188425</v>
      </c>
      <c r="D24" s="11" t="s">
        <v>3</v>
      </c>
      <c r="E24" s="1"/>
    </row>
    <row r="25" spans="1:5" ht="15" customHeight="1" x14ac:dyDescent="0.45">
      <c r="A25" s="1"/>
      <c r="B25" s="45" t="s">
        <v>143</v>
      </c>
      <c r="C25" s="46"/>
      <c r="D25" s="22"/>
      <c r="E25" s="1"/>
    </row>
    <row r="26" spans="1:5" ht="15" customHeight="1" x14ac:dyDescent="0.45">
      <c r="A26" s="1"/>
      <c r="B26" s="36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45">
      <c r="A27" s="1"/>
      <c r="B27" s="45" t="s">
        <v>142</v>
      </c>
      <c r="C27" s="46"/>
      <c r="D27" s="22"/>
      <c r="E27" s="1"/>
    </row>
    <row r="28" spans="1:5" ht="15" customHeight="1" x14ac:dyDescent="0.45">
      <c r="A28" s="1"/>
      <c r="B28" s="50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45">
      <c r="A29" s="1"/>
      <c r="B29" s="50" t="s">
        <v>139</v>
      </c>
      <c r="C29" s="9">
        <f>'Fane 10.2. Engangstillæg'!E14</f>
        <v>0</v>
      </c>
      <c r="D29" s="8" t="s">
        <v>3</v>
      </c>
      <c r="E29" s="1"/>
    </row>
    <row r="30" spans="1:5" x14ac:dyDescent="0.45">
      <c r="A30" s="1"/>
      <c r="B30" s="36" t="s">
        <v>145</v>
      </c>
      <c r="C30" s="10">
        <f>SUM(C28:C29)</f>
        <v>0</v>
      </c>
      <c r="D30" s="11" t="s">
        <v>3</v>
      </c>
      <c r="E30" s="1"/>
    </row>
    <row r="31" spans="1:5" x14ac:dyDescent="0.45">
      <c r="A31" s="1"/>
      <c r="B31" s="45" t="s">
        <v>11</v>
      </c>
      <c r="C31" s="46"/>
      <c r="D31" s="22"/>
      <c r="E31" s="1"/>
    </row>
    <row r="32" spans="1:5" ht="15" customHeight="1" x14ac:dyDescent="0.45">
      <c r="A32" s="1"/>
      <c r="B32" s="41" t="s">
        <v>19</v>
      </c>
      <c r="C32" s="10">
        <f>'Fane 14. Hist. over-underdæk.'!G14</f>
        <v>-2637347.2222222239</v>
      </c>
      <c r="D32" s="11" t="s">
        <v>3</v>
      </c>
      <c r="E32" s="1"/>
    </row>
    <row r="33" spans="1:5" ht="15" customHeight="1" x14ac:dyDescent="0.45">
      <c r="A33" s="1"/>
      <c r="B33" s="45" t="s">
        <v>258</v>
      </c>
      <c r="C33" s="46"/>
      <c r="D33" s="22"/>
      <c r="E33" s="1"/>
    </row>
    <row r="34" spans="1:5" x14ac:dyDescent="0.45">
      <c r="A34" s="1"/>
      <c r="B34" s="41" t="s">
        <v>259</v>
      </c>
      <c r="C34" s="10">
        <f>'Fane 8. Korrektioner'!E20</f>
        <v>0</v>
      </c>
      <c r="D34" s="11" t="s">
        <v>3</v>
      </c>
      <c r="E34" s="1"/>
    </row>
    <row r="35" spans="1:5" x14ac:dyDescent="0.45">
      <c r="A35" s="1"/>
      <c r="B35" s="45" t="s">
        <v>36</v>
      </c>
      <c r="C35" s="12">
        <f>SUM(C22,C24,C26,C30,C32,C34)</f>
        <v>55129658.332468547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TA6TSEisQTCgNFgeUnAVY2aTgUBpAY18jnTsWFeEKDOfEOWc+lKJMzl/mmxDNxDkaAu0VWmpdpXB2yHO+PaC6Q==" saltValue="bADTOP152q5HvzAaiRre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4" t="s">
        <v>208</v>
      </c>
      <c r="C3" s="84"/>
      <c r="D3" s="1"/>
    </row>
    <row r="4" spans="1:4" ht="25.5" customHeight="1" x14ac:dyDescent="0.45">
      <c r="A4" s="1"/>
      <c r="B4" s="84"/>
      <c r="C4" s="8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21</v>
      </c>
      <c r="C8" s="22"/>
      <c r="D8" s="1"/>
    </row>
    <row r="9" spans="1:4" x14ac:dyDescent="0.45">
      <c r="A9" s="1"/>
      <c r="B9" s="47" t="s">
        <v>236</v>
      </c>
      <c r="C9" s="28">
        <v>1.2699999999999999E-2</v>
      </c>
      <c r="D9" s="1"/>
    </row>
    <row r="10" spans="1:4" x14ac:dyDescent="0.45">
      <c r="A10" s="1"/>
      <c r="B10" s="47" t="s">
        <v>237</v>
      </c>
      <c r="C10" s="28">
        <v>1.7500000000000002E-2</v>
      </c>
      <c r="D10" s="1"/>
    </row>
    <row r="11" spans="1:4" x14ac:dyDescent="0.45">
      <c r="A11" s="1"/>
      <c r="B11" s="47" t="s">
        <v>31</v>
      </c>
      <c r="C11" s="28">
        <v>1.6899999999999998E-2</v>
      </c>
      <c r="D11" s="1"/>
    </row>
    <row r="12" spans="1:4" x14ac:dyDescent="0.45">
      <c r="A12" s="1"/>
      <c r="B12" s="32" t="s">
        <v>70</v>
      </c>
      <c r="C12" s="33">
        <v>1.9699999999999999E-2</v>
      </c>
      <c r="D12" s="1"/>
    </row>
    <row r="13" spans="1:4" x14ac:dyDescent="0.45">
      <c r="A13" s="1"/>
      <c r="B13" s="45"/>
      <c r="C13" s="22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5" t="s">
        <v>204</v>
      </c>
      <c r="C16" s="22"/>
      <c r="D16" s="1"/>
    </row>
    <row r="17" spans="1:4" x14ac:dyDescent="0.45">
      <c r="A17" s="1"/>
      <c r="B17" s="47" t="s">
        <v>238</v>
      </c>
      <c r="C17" s="25">
        <v>9.1000000000000004E-3</v>
      </c>
      <c r="D17" s="1"/>
    </row>
    <row r="18" spans="1:4" x14ac:dyDescent="0.45">
      <c r="A18" s="1"/>
      <c r="B18" s="47" t="s">
        <v>240</v>
      </c>
      <c r="C18" s="25">
        <v>1.77E-2</v>
      </c>
      <c r="D18" s="1"/>
    </row>
    <row r="19" spans="1:4" x14ac:dyDescent="0.45">
      <c r="A19" s="1"/>
      <c r="B19" s="47" t="s">
        <v>239</v>
      </c>
      <c r="C19" s="25">
        <v>8.6999999999999994E-3</v>
      </c>
      <c r="D19" s="1"/>
    </row>
    <row r="20" spans="1:4" x14ac:dyDescent="0.45">
      <c r="A20" s="1"/>
      <c r="B20" s="47" t="s">
        <v>241</v>
      </c>
      <c r="C20" s="34">
        <v>2.8400000000000002E-2</v>
      </c>
      <c r="D20" s="1"/>
    </row>
    <row r="21" spans="1:4" x14ac:dyDescent="0.45">
      <c r="A21" s="1"/>
      <c r="B21" s="45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45" t="s">
        <v>203</v>
      </c>
      <c r="C24" s="22"/>
      <c r="D24" s="1"/>
    </row>
    <row r="25" spans="1:4" x14ac:dyDescent="0.45">
      <c r="A25" s="1"/>
      <c r="B25" s="47" t="s">
        <v>242</v>
      </c>
      <c r="C25" s="28">
        <v>0.02</v>
      </c>
      <c r="D25" s="1"/>
    </row>
    <row r="26" spans="1:4" x14ac:dyDescent="0.45">
      <c r="A26" s="1"/>
      <c r="B26" s="45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GZPd3GqFzXwSvVLjEnaGwBKY5pzn9fVcs1EmVeY+gdCi1tL1Cgpbh+fG+2O5FWigX/EUMG0XzVXSFCm9pPH0pg==" saltValue="1HHr7hakeyDRuYOem2Qzz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82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20</v>
      </c>
      <c r="C8" s="46"/>
      <c r="D8" s="22"/>
      <c r="E8" s="1"/>
    </row>
    <row r="9" spans="1:5" ht="15" customHeight="1" x14ac:dyDescent="0.45">
      <c r="A9" s="1"/>
      <c r="B9" s="44" t="s">
        <v>37</v>
      </c>
      <c r="C9" s="7">
        <f>'Fane 2.1. Økonomisk ramme 2020'!C22</f>
        <v>50779811.552806519</v>
      </c>
      <c r="D9" s="8" t="s">
        <v>3</v>
      </c>
      <c r="E9" s="1"/>
    </row>
    <row r="10" spans="1:5" ht="15" customHeight="1" x14ac:dyDescent="0.4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45">
      <c r="A11" s="1"/>
      <c r="B11" s="49" t="s">
        <v>206</v>
      </c>
      <c r="C11" s="7">
        <f>'Fane 2.1. Økonomisk ramme 2020'!C11*(1-'Fane 15. Nøgletal'!C19-'Fane 5. Individuelt eff. krav'!G10)*(1+'Fane 15. Nøgletal'!C11)</f>
        <v>234142.33430321843</v>
      </c>
      <c r="D11" s="8" t="s">
        <v>3</v>
      </c>
      <c r="E11" s="1"/>
    </row>
    <row r="12" spans="1:5" ht="15" customHeight="1" x14ac:dyDescent="0.4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4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75735.575087160323</v>
      </c>
      <c r="D13" s="8" t="s">
        <v>3</v>
      </c>
      <c r="E13" s="1"/>
    </row>
    <row r="14" spans="1:5" ht="15" customHeight="1" x14ac:dyDescent="0.45">
      <c r="A14" s="1"/>
      <c r="B14" s="50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45">
      <c r="A15" s="1"/>
      <c r="B15" s="50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45">
      <c r="A16" s="1"/>
      <c r="B16" s="37" t="s">
        <v>27</v>
      </c>
      <c r="C16" s="9">
        <f>(C9-SUM(C10:C13))*'Fane 15. Nøgletal'!C10+SUM(C10:C11)*'Fane 15. Nøgletal'!C11+SUM(C12:C15)*'Fane 15. Nøgletal'!C12</f>
        <v>888672.83503872389</v>
      </c>
      <c r="D16" s="8" t="s">
        <v>3</v>
      </c>
      <c r="E16" s="1"/>
    </row>
    <row r="17" spans="1:5" ht="15" customHeight="1" x14ac:dyDescent="0.45">
      <c r="A17" s="1"/>
      <c r="B17" s="37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45">
      <c r="A18" s="1"/>
      <c r="B18" s="37" t="s">
        <v>39</v>
      </c>
      <c r="C18" s="9">
        <f>-'Fane 4.1. Gen. krav - drift'!G36</f>
        <v>-229922.67147793647</v>
      </c>
      <c r="D18" s="8" t="s">
        <v>3</v>
      </c>
      <c r="E18" s="1"/>
    </row>
    <row r="19" spans="1:5" ht="15" customHeight="1" x14ac:dyDescent="0.45">
      <c r="A19" s="1"/>
      <c r="B19" s="37" t="s">
        <v>40</v>
      </c>
      <c r="C19" s="9">
        <f>-'Fane 4.2. Gen. krav - anlæg'!G34</f>
        <v>-714025.27910376363</v>
      </c>
      <c r="D19" s="8" t="s">
        <v>3</v>
      </c>
      <c r="E19" s="1"/>
    </row>
    <row r="20" spans="1:5" ht="15" customHeight="1" x14ac:dyDescent="0.45">
      <c r="A20" s="1"/>
      <c r="B20" s="38" t="s">
        <v>29</v>
      </c>
      <c r="C20" s="10">
        <f>SUM(C9,C14:C19)</f>
        <v>50724536.437263541</v>
      </c>
      <c r="D20" s="11" t="s">
        <v>3</v>
      </c>
      <c r="E20" s="1"/>
    </row>
    <row r="21" spans="1:5" x14ac:dyDescent="0.45">
      <c r="A21" s="1"/>
      <c r="B21" s="45" t="s">
        <v>17</v>
      </c>
      <c r="C21" s="46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omk.'!C17*(1+'Fane 15. Nøgletal'!C12)+'Fane 6. Ikke-påvirkelige omk.'!C22+'Fane 6. Ikke-påvirkelige omk.'!C30</f>
        <v>7124841.7237213701</v>
      </c>
      <c r="D22" s="11" t="s">
        <v>3</v>
      </c>
      <c r="E22" s="1"/>
    </row>
    <row r="23" spans="1:5" ht="15" customHeight="1" x14ac:dyDescent="0.45">
      <c r="A23" s="1"/>
      <c r="B23" s="45" t="s">
        <v>143</v>
      </c>
      <c r="C23" s="46"/>
      <c r="D23" s="22"/>
      <c r="E23" s="1"/>
    </row>
    <row r="24" spans="1:5" ht="15" customHeight="1" x14ac:dyDescent="0.45">
      <c r="A24" s="1"/>
      <c r="B24" s="36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45">
      <c r="A25" s="1"/>
      <c r="B25" s="45" t="s">
        <v>142</v>
      </c>
      <c r="C25" s="46"/>
      <c r="D25" s="22"/>
      <c r="E25" s="1"/>
    </row>
    <row r="26" spans="1:5" ht="15" customHeight="1" x14ac:dyDescent="0.45">
      <c r="A26" s="1"/>
      <c r="B26" s="50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45">
      <c r="A27" s="1"/>
      <c r="B27" s="50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45">
      <c r="A28" s="1"/>
      <c r="B28" s="36" t="s">
        <v>145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45" t="s">
        <v>45</v>
      </c>
      <c r="C29" s="12">
        <f>SUM(C20,C22,C24,C28,)</f>
        <v>57849378.160984911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IWI8aX3PXUL0fY+u8U1+Nu+wUs+ePK6iitRrmLbARfjpmB+jOVsQIEWdfl8RsWPu4MDjru+rXIO1aZ9uEkHnUw==" saltValue="jGjZd/uQRIWHXfHF0YEw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215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30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20</v>
      </c>
      <c r="C7" s="46"/>
      <c r="D7" s="22"/>
      <c r="E7" s="1"/>
    </row>
    <row r="8" spans="1:5" ht="15" customHeight="1" x14ac:dyDescent="0.45">
      <c r="A8" s="1"/>
      <c r="B8" s="44" t="s">
        <v>38</v>
      </c>
      <c r="C8" s="7">
        <f>'Fane 2.2. Økonomisk ramme 2021'!C20</f>
        <v>50724536.437263541</v>
      </c>
      <c r="D8" s="8" t="s">
        <v>3</v>
      </c>
      <c r="E8" s="1"/>
    </row>
    <row r="9" spans="1:5" ht="15" customHeight="1" x14ac:dyDescent="0.45">
      <c r="A9" s="1"/>
      <c r="B9" s="44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44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37" t="s">
        <v>27</v>
      </c>
      <c r="C11" s="9">
        <f>SUM(C8:C10)*'Fane 15. Nøgletal'!C12</f>
        <v>999273.36781409173</v>
      </c>
      <c r="D11" s="8" t="s">
        <v>3</v>
      </c>
      <c r="E11" s="1"/>
    </row>
    <row r="12" spans="1:5" ht="15" customHeight="1" x14ac:dyDescent="0.4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7" t="s">
        <v>39</v>
      </c>
      <c r="C13" s="9">
        <f>-'Fane 4.1. Gen. krav - drift'!G42</f>
        <v>-229763.10514393079</v>
      </c>
      <c r="D13" s="8" t="s">
        <v>3</v>
      </c>
      <c r="E13" s="1"/>
    </row>
    <row r="14" spans="1:5" ht="15" customHeight="1" x14ac:dyDescent="0.45">
      <c r="A14" s="1"/>
      <c r="B14" s="37" t="s">
        <v>40</v>
      </c>
      <c r="C14" s="9">
        <f>-'Fane 4.2. Gen. krav - anlæg'!G40</f>
        <v>-1149713.5922440116</v>
      </c>
      <c r="D14" s="8" t="s">
        <v>3</v>
      </c>
      <c r="E14" s="1"/>
    </row>
    <row r="15" spans="1:5" x14ac:dyDescent="0.45">
      <c r="A15" s="1"/>
      <c r="B15" s="38" t="s">
        <v>29</v>
      </c>
      <c r="C15" s="10">
        <f>SUM(C8:C14)</f>
        <v>50344333.107689686</v>
      </c>
      <c r="D15" s="11" t="s">
        <v>3</v>
      </c>
      <c r="E15" s="1"/>
    </row>
    <row r="16" spans="1:5" x14ac:dyDescent="0.45">
      <c r="A16" s="1"/>
      <c r="B16" s="45" t="s">
        <v>17</v>
      </c>
      <c r="C16" s="46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omk.'!C17*(1+'Fane 15. Nøgletal'!C12)^2+'Fane 6. Ikke-påvirkelige omk.'!C23+'Fane 6. Ikke-påvirkelige omk.'!C31</f>
        <v>7265201.1056786813</v>
      </c>
      <c r="D17" s="11" t="s">
        <v>3</v>
      </c>
      <c r="E17" s="1"/>
    </row>
    <row r="18" spans="1:5" ht="15" customHeight="1" x14ac:dyDescent="0.45">
      <c r="A18" s="1"/>
      <c r="B18" s="45" t="s">
        <v>143</v>
      </c>
      <c r="C18" s="46"/>
      <c r="D18" s="22"/>
      <c r="E18" s="1"/>
    </row>
    <row r="19" spans="1:5" ht="15" customHeight="1" x14ac:dyDescent="0.45">
      <c r="A19" s="1"/>
      <c r="B19" s="36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45" t="s">
        <v>142</v>
      </c>
      <c r="C20" s="46"/>
      <c r="D20" s="22"/>
      <c r="E20" s="1"/>
    </row>
    <row r="21" spans="1:5" ht="15" customHeight="1" x14ac:dyDescent="0.45">
      <c r="A21" s="1"/>
      <c r="B21" s="50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50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45" t="s">
        <v>171</v>
      </c>
      <c r="C24" s="46"/>
      <c r="D24" s="22"/>
      <c r="E24" s="1"/>
    </row>
    <row r="25" spans="1:5" ht="15" customHeight="1" x14ac:dyDescent="0.45">
      <c r="A25" s="1"/>
      <c r="B25" s="41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45">
      <c r="A26" s="1"/>
      <c r="B26" s="45" t="s">
        <v>46</v>
      </c>
      <c r="C26" s="12">
        <f>SUM(C15,C17,C19,C23,C25)</f>
        <v>57609534.213368371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nx5VgUcSYnOT3TSaPVDQJdhgOA2qXBV/PlACeTdgH0xL62RJKXhYKm2/5LP3dLk8jl90mNn8MtKtz/ADku3ynQ==" saltValue="cTbUyKGDIWHfD97raDGYm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216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30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20</v>
      </c>
      <c r="C7" s="46"/>
      <c r="D7" s="22"/>
      <c r="E7" s="1"/>
    </row>
    <row r="8" spans="1:5" ht="15" customHeight="1" x14ac:dyDescent="0.45">
      <c r="A8" s="1"/>
      <c r="B8" s="44" t="s">
        <v>220</v>
      </c>
      <c r="C8" s="7">
        <f>'Fane 2.3. Økonomisk ramme 2022'!C15</f>
        <v>50344333.107689686</v>
      </c>
      <c r="D8" s="8" t="s">
        <v>3</v>
      </c>
      <c r="E8" s="1"/>
    </row>
    <row r="9" spans="1:5" ht="15" customHeight="1" x14ac:dyDescent="0.45">
      <c r="A9" s="1"/>
      <c r="B9" s="44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44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37" t="s">
        <v>27</v>
      </c>
      <c r="C11" s="9">
        <f>C8*'Fane 15. Nøgletal'!C12</f>
        <v>991783.36222148675</v>
      </c>
      <c r="D11" s="8" t="s">
        <v>3</v>
      </c>
      <c r="E11" s="1"/>
    </row>
    <row r="12" spans="1:5" ht="15" customHeight="1" x14ac:dyDescent="0.4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7" t="s">
        <v>39</v>
      </c>
      <c r="C13" s="9">
        <f>-'Fane 4.1. Gen. krav - drift'!G48</f>
        <v>-229603.64954896094</v>
      </c>
      <c r="D13" s="8" t="s">
        <v>3</v>
      </c>
      <c r="E13" s="1"/>
    </row>
    <row r="14" spans="1:5" ht="15" customHeight="1" x14ac:dyDescent="0.45">
      <c r="A14" s="1"/>
      <c r="B14" s="37" t="s">
        <v>40</v>
      </c>
      <c r="C14" s="9">
        <f>-'Fane 4.2. Gen. krav - anlæg'!G46</f>
        <v>-1139067.8422309002</v>
      </c>
      <c r="D14" s="8" t="s">
        <v>3</v>
      </c>
      <c r="E14" s="1"/>
    </row>
    <row r="15" spans="1:5" x14ac:dyDescent="0.45">
      <c r="A15" s="1"/>
      <c r="B15" s="38" t="s">
        <v>29</v>
      </c>
      <c r="C15" s="10">
        <f>SUM(C8:C14)</f>
        <v>49967444.978131309</v>
      </c>
      <c r="D15" s="11" t="s">
        <v>3</v>
      </c>
      <c r="E15" s="1"/>
    </row>
    <row r="16" spans="1:5" x14ac:dyDescent="0.45">
      <c r="A16" s="1"/>
      <c r="B16" s="45" t="s">
        <v>17</v>
      </c>
      <c r="C16" s="46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omk.'!C17*(1+'Fane 15. Nøgletal'!C12)^3+'Fane 6. Ikke-påvirkelige omk.'!C24+'Fane 6. Ikke-påvirkelige omk.'!C32</f>
        <v>7408325.5674605509</v>
      </c>
      <c r="D17" s="11" t="s">
        <v>3</v>
      </c>
      <c r="E17" s="1"/>
    </row>
    <row r="18" spans="1:5" ht="15" customHeight="1" x14ac:dyDescent="0.45">
      <c r="A18" s="1"/>
      <c r="B18" s="45" t="s">
        <v>143</v>
      </c>
      <c r="C18" s="46"/>
      <c r="D18" s="22"/>
      <c r="E18" s="1"/>
    </row>
    <row r="19" spans="1:5" ht="15" customHeight="1" x14ac:dyDescent="0.45">
      <c r="A19" s="1"/>
      <c r="B19" s="36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45" t="s">
        <v>142</v>
      </c>
      <c r="C20" s="46"/>
      <c r="D20" s="22"/>
      <c r="E20" s="1"/>
    </row>
    <row r="21" spans="1:5" ht="15" customHeight="1" x14ac:dyDescent="0.45">
      <c r="A21" s="1"/>
      <c r="B21" s="50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50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45" t="s">
        <v>171</v>
      </c>
      <c r="C24" s="46"/>
      <c r="D24" s="22"/>
      <c r="E24" s="1"/>
    </row>
    <row r="25" spans="1:5" ht="15" customHeight="1" x14ac:dyDescent="0.45">
      <c r="A25" s="1"/>
      <c r="B25" s="41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45">
      <c r="A26" s="1"/>
      <c r="B26" s="45" t="s">
        <v>156</v>
      </c>
      <c r="C26" s="12">
        <f>SUM(C15,C17,C19,C23,C25)</f>
        <v>57375770.545591861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ewlobneSEOEaYCod5Tw9TOkcggvVOMscNd4Ywei58bzh+cxb7MMJHcqBzmRd+AZUu9AkqHnrl1AO7lBRT9TpDA==" saltValue="VmzkzwGfi5Ed64r7DXKw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254</v>
      </c>
      <c r="C3" s="84"/>
      <c r="D3" s="84"/>
      <c r="E3" s="84"/>
      <c r="F3" s="84"/>
      <c r="G3" s="1"/>
    </row>
    <row r="4" spans="1:7" ht="29.2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81</v>
      </c>
      <c r="C8" s="46"/>
      <c r="D8" s="46"/>
      <c r="E8" s="46"/>
      <c r="F8" s="22"/>
      <c r="G8" s="1"/>
    </row>
    <row r="9" spans="1:7" x14ac:dyDescent="0.45">
      <c r="A9" s="1"/>
      <c r="B9" s="85" t="s">
        <v>79</v>
      </c>
      <c r="C9" s="86"/>
      <c r="D9" s="87"/>
      <c r="E9" s="7">
        <v>50582945.604630008</v>
      </c>
      <c r="F9" s="8" t="s">
        <v>3</v>
      </c>
      <c r="G9" s="1"/>
    </row>
    <row r="10" spans="1:7" x14ac:dyDescent="0.45">
      <c r="A10" s="1"/>
      <c r="B10" s="88" t="s">
        <v>64</v>
      </c>
      <c r="C10" s="89"/>
      <c r="D10" s="90"/>
      <c r="E10" s="7">
        <v>0</v>
      </c>
      <c r="F10" s="8" t="s">
        <v>3</v>
      </c>
      <c r="G10" s="1"/>
    </row>
    <row r="11" spans="1:7" x14ac:dyDescent="0.45">
      <c r="A11" s="1"/>
      <c r="B11" s="88" t="s">
        <v>65</v>
      </c>
      <c r="C11" s="89"/>
      <c r="D11" s="90"/>
      <c r="E11" s="9">
        <v>230416.32029999999</v>
      </c>
      <c r="F11" s="8" t="s">
        <v>3</v>
      </c>
      <c r="G11" s="1"/>
    </row>
    <row r="12" spans="1:7" x14ac:dyDescent="0.45">
      <c r="A12" s="1"/>
      <c r="B12" s="88" t="s">
        <v>42</v>
      </c>
      <c r="C12" s="89"/>
      <c r="D12" s="90"/>
      <c r="E12" s="9">
        <v>0</v>
      </c>
      <c r="F12" s="8" t="s">
        <v>3</v>
      </c>
      <c r="G12" s="1"/>
    </row>
    <row r="13" spans="1:7" x14ac:dyDescent="0.45">
      <c r="A13" s="1"/>
      <c r="B13" s="88" t="s">
        <v>41</v>
      </c>
      <c r="C13" s="89"/>
      <c r="D13" s="90"/>
      <c r="E13" s="9">
        <v>0</v>
      </c>
      <c r="F13" s="8" t="s">
        <v>3</v>
      </c>
      <c r="G13" s="1"/>
    </row>
    <row r="14" spans="1:7" x14ac:dyDescent="0.45">
      <c r="A14" s="1"/>
      <c r="B14" s="88" t="s">
        <v>44</v>
      </c>
      <c r="C14" s="89"/>
      <c r="D14" s="90"/>
      <c r="E14" s="9">
        <v>0</v>
      </c>
      <c r="F14" s="8" t="s">
        <v>3</v>
      </c>
      <c r="G14" s="1"/>
    </row>
    <row r="15" spans="1:7" x14ac:dyDescent="0.45">
      <c r="A15" s="1"/>
      <c r="B15" s="88" t="s">
        <v>43</v>
      </c>
      <c r="C15" s="89"/>
      <c r="D15" s="90"/>
      <c r="E15" s="9">
        <v>0</v>
      </c>
      <c r="F15" s="8" t="s">
        <v>3</v>
      </c>
      <c r="G15" s="1"/>
    </row>
    <row r="16" spans="1:7" x14ac:dyDescent="0.45">
      <c r="A16" s="1"/>
      <c r="B16" s="88" t="s">
        <v>27</v>
      </c>
      <c r="C16" s="89"/>
      <c r="D16" s="90"/>
      <c r="E16" s="9">
        <f>E9*'Fane 15. Nøgletal'!C10+SUM(E10:E15)*'Fane 15. Nøgletal'!C11</f>
        <v>889095.58389409527</v>
      </c>
      <c r="F16" s="8" t="s">
        <v>3</v>
      </c>
      <c r="G16" s="1"/>
    </row>
    <row r="17" spans="1:7" x14ac:dyDescent="0.45">
      <c r="A17" s="1"/>
      <c r="B17" s="88" t="s">
        <v>10</v>
      </c>
      <c r="C17" s="89"/>
      <c r="D17" s="90"/>
      <c r="E17" s="9">
        <f>-SUM(E9:E16)*'Fane 5. Individuelt eff. krav'!G10</f>
        <v>0</v>
      </c>
      <c r="F17" s="8" t="s">
        <v>3</v>
      </c>
      <c r="G17" s="1"/>
    </row>
    <row r="18" spans="1:7" x14ac:dyDescent="0.45">
      <c r="A18" s="1"/>
      <c r="B18" s="88" t="s">
        <v>39</v>
      </c>
      <c r="C18" s="89"/>
      <c r="D18" s="90"/>
      <c r="E18" s="9">
        <f>-'Fane 4.1. Gen. krav - drift'!G21</f>
        <v>-231238.85471219858</v>
      </c>
      <c r="F18" s="8" t="s">
        <v>3</v>
      </c>
      <c r="G18" s="1"/>
    </row>
    <row r="19" spans="1:7" x14ac:dyDescent="0.45">
      <c r="A19" s="1"/>
      <c r="B19" s="88" t="s">
        <v>40</v>
      </c>
      <c r="C19" s="89"/>
      <c r="D19" s="90"/>
      <c r="E19" s="9">
        <f>-'Fane 4.2. Gen. krav - anlæg'!G19</f>
        <v>-712523.20661642391</v>
      </c>
      <c r="F19" s="8" t="s">
        <v>3</v>
      </c>
      <c r="G19" s="1"/>
    </row>
    <row r="20" spans="1:7" x14ac:dyDescent="0.45">
      <c r="A20" s="1"/>
      <c r="B20" s="99" t="s">
        <v>29</v>
      </c>
      <c r="C20" s="100"/>
      <c r="D20" s="101"/>
      <c r="E20" s="10">
        <f>SUM(E9:E19)</f>
        <v>50758695.447495483</v>
      </c>
      <c r="F20" s="11" t="s">
        <v>3</v>
      </c>
      <c r="G20" s="1"/>
    </row>
    <row r="21" spans="1:7" x14ac:dyDescent="0.45">
      <c r="A21" s="1"/>
      <c r="B21" s="93" t="s">
        <v>143</v>
      </c>
      <c r="C21" s="94"/>
      <c r="D21" s="94"/>
      <c r="E21" s="94"/>
      <c r="F21" s="95"/>
      <c r="G21" s="1"/>
    </row>
    <row r="22" spans="1:7" x14ac:dyDescent="0.45">
      <c r="A22" s="1"/>
      <c r="B22" s="75" t="s">
        <v>250</v>
      </c>
      <c r="C22" s="76"/>
      <c r="D22" s="77"/>
      <c r="E22" s="35">
        <v>0</v>
      </c>
      <c r="F22" s="8" t="s">
        <v>3</v>
      </c>
      <c r="G22" s="1"/>
    </row>
    <row r="23" spans="1:7" x14ac:dyDescent="0.45">
      <c r="A23" s="1"/>
      <c r="B23" s="75" t="s">
        <v>251</v>
      </c>
      <c r="C23" s="76"/>
      <c r="D23" s="77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45">
      <c r="A24" s="1"/>
      <c r="B24" s="96" t="s">
        <v>252</v>
      </c>
      <c r="C24" s="97"/>
      <c r="D24" s="98"/>
      <c r="E24" s="10">
        <f>SUM(E22:E23)</f>
        <v>0</v>
      </c>
      <c r="F24" s="11" t="s">
        <v>3</v>
      </c>
      <c r="G24" s="1"/>
    </row>
    <row r="25" spans="1:7" x14ac:dyDescent="0.45">
      <c r="A25" s="1"/>
      <c r="B25" s="91" t="s">
        <v>17</v>
      </c>
      <c r="C25" s="92"/>
      <c r="D25" s="92"/>
      <c r="E25" s="46"/>
      <c r="F25" s="22"/>
      <c r="G25" s="1"/>
    </row>
    <row r="26" spans="1:7" x14ac:dyDescent="0.45">
      <c r="A26" s="1"/>
      <c r="B26" s="81" t="s">
        <v>17</v>
      </c>
      <c r="C26" s="82"/>
      <c r="D26" s="83"/>
      <c r="E26" s="10">
        <v>4649285.0955563486</v>
      </c>
      <c r="F26" s="11" t="s">
        <v>3</v>
      </c>
      <c r="G26" s="1"/>
    </row>
    <row r="27" spans="1:7" x14ac:dyDescent="0.45">
      <c r="A27" s="1"/>
      <c r="B27" s="45" t="s">
        <v>80</v>
      </c>
      <c r="C27" s="46"/>
      <c r="D27" s="46"/>
      <c r="E27" s="46"/>
      <c r="F27" s="22"/>
      <c r="G27" s="1"/>
    </row>
    <row r="28" spans="1:7" ht="27" customHeight="1" x14ac:dyDescent="0.45">
      <c r="A28" s="1"/>
      <c r="B28" s="78" t="s">
        <v>132</v>
      </c>
      <c r="C28" s="79"/>
      <c r="D28" s="80"/>
      <c r="E28" s="10">
        <v>44979.980383178015</v>
      </c>
      <c r="F28" s="11" t="s">
        <v>3</v>
      </c>
      <c r="G28" s="1"/>
    </row>
    <row r="29" spans="1:7" x14ac:dyDescent="0.45">
      <c r="A29" s="1"/>
      <c r="B29" s="45" t="s">
        <v>11</v>
      </c>
      <c r="C29" s="46"/>
      <c r="D29" s="46"/>
      <c r="E29" s="46"/>
      <c r="F29" s="22"/>
      <c r="G29" s="1"/>
    </row>
    <row r="30" spans="1:7" x14ac:dyDescent="0.45">
      <c r="A30" s="1"/>
      <c r="B30" s="81" t="s">
        <v>19</v>
      </c>
      <c r="C30" s="82"/>
      <c r="D30" s="83"/>
      <c r="E30" s="10">
        <v>-2637348</v>
      </c>
      <c r="F30" s="11" t="s">
        <v>3</v>
      </c>
      <c r="G30" s="1"/>
    </row>
    <row r="31" spans="1:7" x14ac:dyDescent="0.45">
      <c r="A31" s="1"/>
      <c r="B31" s="45" t="s">
        <v>24</v>
      </c>
      <c r="C31" s="46"/>
      <c r="D31" s="46"/>
      <c r="E31" s="12">
        <f>SUM(E30,E28,E26,E20,E24)</f>
        <v>52815612.523435012</v>
      </c>
      <c r="F31" s="13" t="s">
        <v>3</v>
      </c>
      <c r="G31" s="1"/>
    </row>
    <row r="32" spans="1:7" ht="27" customHeight="1" x14ac:dyDescent="0.45">
      <c r="A32" s="1"/>
      <c r="B32" s="75" t="s">
        <v>209</v>
      </c>
      <c r="C32" s="76"/>
      <c r="D32" s="76"/>
      <c r="E32" s="76"/>
      <c r="F32" s="77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jSMzsNq7qIrTonNifci/4NyI3JDnNv54duQCd+vCf+qJlAADp8BEF8Ijgpl//qXvhMx/Qkr19UkdD956EkQgKg==" saltValue="madHdq802btimuOD0IS5VA==" spinCount="100000" sheet="1" objects="1" scenarios="1"/>
  <mergeCells count="22">
    <mergeCell ref="B21:F21"/>
    <mergeCell ref="B22:D22"/>
    <mergeCell ref="B23:D23"/>
    <mergeCell ref="B24:D24"/>
    <mergeCell ref="B19:D19"/>
    <mergeCell ref="B20:D20"/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3" t="s">
        <v>94</v>
      </c>
      <c r="C4" s="94"/>
      <c r="D4" s="94"/>
      <c r="E4" s="94"/>
      <c r="F4" s="94"/>
      <c r="G4" s="94"/>
      <c r="H4" s="95"/>
      <c r="I4" s="1"/>
    </row>
    <row r="5" spans="1:9" x14ac:dyDescent="0.45">
      <c r="A5" s="1"/>
      <c r="B5" s="102" t="s">
        <v>83</v>
      </c>
      <c r="C5" s="103"/>
      <c r="D5" s="103"/>
      <c r="E5" s="103"/>
      <c r="F5" s="104"/>
      <c r="G5" s="26">
        <v>11628128.619265027</v>
      </c>
      <c r="H5" s="14" t="s">
        <v>3</v>
      </c>
      <c r="I5" s="1"/>
    </row>
    <row r="6" spans="1:9" x14ac:dyDescent="0.45">
      <c r="A6" s="1"/>
      <c r="B6" s="75" t="s">
        <v>253</v>
      </c>
      <c r="C6" s="76"/>
      <c r="D6" s="76"/>
      <c r="E6" s="76"/>
      <c r="F6" s="77"/>
      <c r="G6" s="26">
        <v>0</v>
      </c>
      <c r="H6" s="14" t="s">
        <v>3</v>
      </c>
      <c r="I6" s="1"/>
    </row>
    <row r="7" spans="1:9" x14ac:dyDescent="0.45">
      <c r="A7" s="1"/>
      <c r="B7" s="102" t="s">
        <v>84</v>
      </c>
      <c r="C7" s="103"/>
      <c r="D7" s="103"/>
      <c r="E7" s="103"/>
      <c r="F7" s="104"/>
      <c r="G7" s="26">
        <f>SUM(G5:G6)*'Fane 15. Nøgletal'!C25</f>
        <v>232562.57238530056</v>
      </c>
      <c r="H7" s="14" t="s">
        <v>3</v>
      </c>
      <c r="I7" s="1"/>
    </row>
    <row r="8" spans="1:9" x14ac:dyDescent="0.4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3" t="s">
        <v>95</v>
      </c>
      <c r="C10" s="94"/>
      <c r="D10" s="94"/>
      <c r="E10" s="94"/>
      <c r="F10" s="94"/>
      <c r="G10" s="94"/>
      <c r="H10" s="95"/>
      <c r="I10" s="1"/>
    </row>
    <row r="11" spans="1:9" x14ac:dyDescent="0.4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11594988.452700123</v>
      </c>
      <c r="H11" s="14" t="s">
        <v>3</v>
      </c>
      <c r="I11" s="1"/>
    </row>
    <row r="12" spans="1:9" x14ac:dyDescent="0.45">
      <c r="A12" s="1"/>
      <c r="B12" s="102" t="s">
        <v>256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45">
      <c r="A13" s="1"/>
      <c r="B13" s="75" t="s">
        <v>250</v>
      </c>
      <c r="C13" s="76"/>
      <c r="D13" s="76"/>
      <c r="E13" s="76"/>
      <c r="F13" s="77"/>
      <c r="G13" s="26">
        <v>0</v>
      </c>
      <c r="H13" s="14" t="s">
        <v>3</v>
      </c>
      <c r="I13" s="1"/>
    </row>
    <row r="14" spans="1:9" x14ac:dyDescent="0.45">
      <c r="A14" s="1"/>
      <c r="B14" s="108" t="s">
        <v>86</v>
      </c>
      <c r="C14" s="106"/>
      <c r="D14" s="106"/>
      <c r="E14" s="106"/>
      <c r="F14" s="107"/>
      <c r="G14" s="26">
        <v>0</v>
      </c>
      <c r="H14" s="14" t="s">
        <v>3</v>
      </c>
      <c r="I14" s="1"/>
    </row>
    <row r="15" spans="1:9" x14ac:dyDescent="0.4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231899.76905400248</v>
      </c>
      <c r="H15" s="14" t="s">
        <v>3</v>
      </c>
      <c r="I15" s="1"/>
    </row>
    <row r="16" spans="1:9" x14ac:dyDescent="0.45">
      <c r="A16" s="1"/>
      <c r="B16" s="45"/>
      <c r="C16" s="46"/>
      <c r="D16" s="46"/>
      <c r="E16" s="46"/>
      <c r="F16" s="46"/>
      <c r="G16" s="46"/>
      <c r="H16" s="22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3" t="s">
        <v>96</v>
      </c>
      <c r="C18" s="94"/>
      <c r="D18" s="94"/>
      <c r="E18" s="94"/>
      <c r="F18" s="94"/>
      <c r="G18" s="94"/>
      <c r="H18" s="95"/>
      <c r="I18" s="1"/>
    </row>
    <row r="19" spans="1:9" x14ac:dyDescent="0.4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11561942.735609928</v>
      </c>
      <c r="H19" s="14" t="s">
        <v>3</v>
      </c>
      <c r="I19" s="1"/>
    </row>
    <row r="20" spans="1:9" x14ac:dyDescent="0.45">
      <c r="A20" s="1"/>
      <c r="B20" s="108" t="s">
        <v>89</v>
      </c>
      <c r="C20" s="106"/>
      <c r="D20" s="106"/>
      <c r="E20" s="106"/>
      <c r="F20" s="107"/>
      <c r="G20" s="26">
        <v>0</v>
      </c>
      <c r="H20" s="14" t="s">
        <v>3</v>
      </c>
      <c r="I20" s="1"/>
    </row>
    <row r="21" spans="1:9" x14ac:dyDescent="0.4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231238.85471219858</v>
      </c>
      <c r="H21" s="14" t="s">
        <v>3</v>
      </c>
      <c r="I21" s="1"/>
    </row>
    <row r="22" spans="1:9" x14ac:dyDescent="0.45">
      <c r="A22" s="1"/>
      <c r="B22" s="45"/>
      <c r="C22" s="46"/>
      <c r="D22" s="46"/>
      <c r="E22" s="46"/>
      <c r="F22" s="46"/>
      <c r="G22" s="46"/>
      <c r="H22" s="22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3" t="s">
        <v>97</v>
      </c>
      <c r="C24" s="94"/>
      <c r="D24" s="94"/>
      <c r="E24" s="94"/>
      <c r="F24" s="94"/>
      <c r="G24" s="94"/>
      <c r="H24" s="95"/>
      <c r="I24" s="1"/>
    </row>
    <row r="25" spans="1:9" x14ac:dyDescent="0.4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11528991.19881344</v>
      </c>
      <c r="H25" s="14" t="s">
        <v>3</v>
      </c>
      <c r="I25" s="1"/>
    </row>
    <row r="26" spans="1:9" x14ac:dyDescent="0.4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0</v>
      </c>
      <c r="H26" s="14" t="s">
        <v>3</v>
      </c>
      <c r="I26" s="1"/>
    </row>
    <row r="27" spans="1:9" x14ac:dyDescent="0.4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4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230579.82397626882</v>
      </c>
      <c r="H28" s="14" t="s">
        <v>3</v>
      </c>
      <c r="I28" s="1"/>
    </row>
    <row r="29" spans="1:9" x14ac:dyDescent="0.45">
      <c r="A29" s="1"/>
      <c r="B29" s="45"/>
      <c r="C29" s="46"/>
      <c r="D29" s="46"/>
      <c r="E29" s="46"/>
      <c r="F29" s="46"/>
      <c r="G29" s="46"/>
      <c r="H29" s="22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4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11496133.573896823</v>
      </c>
      <c r="H32" s="14" t="s">
        <v>3</v>
      </c>
      <c r="I32" s="1"/>
    </row>
    <row r="33" spans="1:9" x14ac:dyDescent="0.4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0</v>
      </c>
      <c r="H33" s="14" t="s">
        <v>3</v>
      </c>
      <c r="I33" s="1"/>
    </row>
    <row r="34" spans="1:9" x14ac:dyDescent="0.4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4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4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229922.67147793647</v>
      </c>
      <c r="H36" s="14" t="s">
        <v>3</v>
      </c>
      <c r="I36" s="1"/>
    </row>
    <row r="37" spans="1:9" x14ac:dyDescent="0.45">
      <c r="A37" s="1"/>
      <c r="B37" s="45"/>
      <c r="C37" s="46"/>
      <c r="D37" s="46"/>
      <c r="E37" s="46"/>
      <c r="F37" s="46"/>
      <c r="G37" s="46"/>
      <c r="H37" s="22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93" t="s">
        <v>127</v>
      </c>
      <c r="C39" s="94"/>
      <c r="D39" s="94"/>
      <c r="E39" s="94"/>
      <c r="F39" s="94"/>
      <c r="G39" s="94"/>
      <c r="H39" s="95"/>
      <c r="I39" s="1"/>
    </row>
    <row r="40" spans="1:9" x14ac:dyDescent="0.4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11488155.25719654</v>
      </c>
      <c r="H40" s="14" t="s">
        <v>3</v>
      </c>
      <c r="I40" s="1"/>
    </row>
    <row r="41" spans="1:9" x14ac:dyDescent="0.4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4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229763.10514393079</v>
      </c>
      <c r="H42" s="14" t="s">
        <v>3</v>
      </c>
      <c r="I42" s="1"/>
    </row>
    <row r="43" spans="1:9" x14ac:dyDescent="0.45">
      <c r="A43" s="1"/>
      <c r="B43" s="45"/>
      <c r="C43" s="46"/>
      <c r="D43" s="46"/>
      <c r="E43" s="46"/>
      <c r="F43" s="46"/>
      <c r="G43" s="46"/>
      <c r="H43" s="22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93" t="s">
        <v>128</v>
      </c>
      <c r="C45" s="94"/>
      <c r="D45" s="94"/>
      <c r="E45" s="94"/>
      <c r="F45" s="94"/>
      <c r="G45" s="94"/>
      <c r="H45" s="95"/>
      <c r="I45" s="1"/>
    </row>
    <row r="46" spans="1:9" x14ac:dyDescent="0.4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11480182.477448046</v>
      </c>
      <c r="H46" s="14" t="s">
        <v>3</v>
      </c>
      <c r="I46" s="1"/>
    </row>
    <row r="47" spans="1:9" x14ac:dyDescent="0.4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4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229603.64954896094</v>
      </c>
      <c r="H48" s="14" t="s">
        <v>3</v>
      </c>
      <c r="I48" s="1"/>
    </row>
    <row r="49" spans="1:9" x14ac:dyDescent="0.45">
      <c r="A49" s="1"/>
      <c r="B49" s="45"/>
      <c r="C49" s="46"/>
      <c r="D49" s="46"/>
      <c r="E49" s="46"/>
      <c r="F49" s="46"/>
      <c r="G49" s="46"/>
      <c r="H49" s="22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g81G6pi0f73ArmHqz22oRVFQuI/Jj7dYR6AfUaaa1V01lppKANZ/DF1rzqdEhfd8pJqjEZP15MWxWaymUWvqQ==" saltValue="NvcU6QydLLWznUjClSVP0Q==" spinCount="100000" sheet="1" objects="1" scenarios="1"/>
  <mergeCells count="34"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2:F12"/>
    <mergeCell ref="B1:H3"/>
    <mergeCell ref="B4:H4"/>
    <mergeCell ref="B5:F5"/>
    <mergeCell ref="B7:F7"/>
    <mergeCell ref="B11:F11"/>
    <mergeCell ref="B10:H10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" x14ac:dyDescent="0.55000000000000004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4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45">
      <c r="A5" s="1"/>
      <c r="B5" s="102" t="s">
        <v>105</v>
      </c>
      <c r="C5" s="103"/>
      <c r="D5" s="103"/>
      <c r="E5" s="103"/>
      <c r="F5" s="104"/>
      <c r="G5" s="26">
        <v>39473247.317193583</v>
      </c>
      <c r="H5" s="14" t="s">
        <v>3</v>
      </c>
      <c r="I5" s="1"/>
    </row>
    <row r="6" spans="1:9" x14ac:dyDescent="0.45">
      <c r="A6" s="1"/>
      <c r="B6" s="102" t="s">
        <v>99</v>
      </c>
      <c r="C6" s="103"/>
      <c r="D6" s="103"/>
      <c r="E6" s="103"/>
      <c r="F6" s="104"/>
      <c r="G6" s="26">
        <f>G5*'Fane 15. Nøgletal'!C17</f>
        <v>359206.55058646161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4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39798536.480022751</v>
      </c>
      <c r="H10" s="14" t="s">
        <v>3</v>
      </c>
      <c r="I10" s="1"/>
    </row>
    <row r="11" spans="1:9" x14ac:dyDescent="0.45">
      <c r="A11" s="1"/>
      <c r="B11" s="102" t="s">
        <v>257</v>
      </c>
      <c r="C11" s="103"/>
      <c r="D11" s="103"/>
      <c r="E11" s="103"/>
      <c r="F11" s="104"/>
      <c r="G11" s="26">
        <v>362314.41305559839</v>
      </c>
      <c r="H11" s="14" t="s">
        <v>3</v>
      </c>
      <c r="I11" s="1"/>
    </row>
    <row r="12" spans="1:9" x14ac:dyDescent="0.4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4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710847.06080748676</v>
      </c>
      <c r="H13" s="14" t="s">
        <v>3</v>
      </c>
      <c r="I13" s="1"/>
    </row>
    <row r="14" spans="1:9" x14ac:dyDescent="0.4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4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40140378.8993356</v>
      </c>
      <c r="H17" s="14" t="s">
        <v>3</v>
      </c>
      <c r="I17" s="1"/>
    </row>
    <row r="18" spans="1:9" x14ac:dyDescent="0.45">
      <c r="A18" s="1"/>
      <c r="B18" s="108" t="s">
        <v>112</v>
      </c>
      <c r="C18" s="106"/>
      <c r="D18" s="106"/>
      <c r="E18" s="106"/>
      <c r="F18" s="107"/>
      <c r="G18" s="26">
        <v>234310.35611306995</v>
      </c>
      <c r="H18" s="14" t="s">
        <v>3</v>
      </c>
      <c r="I18" s="1"/>
    </row>
    <row r="19" spans="1:9" x14ac:dyDescent="0.4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712523.20661642391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4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40356114.591573201</v>
      </c>
      <c r="H23" s="14" t="s">
        <v>3</v>
      </c>
      <c r="I23" s="1"/>
    </row>
    <row r="24" spans="1:9" x14ac:dyDescent="0.4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236197.2503815378</v>
      </c>
      <c r="H24" s="14" t="s">
        <v>3</v>
      </c>
      <c r="I24" s="1"/>
    </row>
    <row r="25" spans="1:9" x14ac:dyDescent="0.4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77949.336236270407</v>
      </c>
      <c r="H25" s="14" t="s">
        <v>3</v>
      </c>
      <c r="I25" s="1"/>
    </row>
    <row r="26" spans="1:9" x14ac:dyDescent="0.4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714391.21416652191</v>
      </c>
      <c r="H26" s="14" t="s">
        <v>3</v>
      </c>
      <c r="I26" s="1"/>
    </row>
    <row r="27" spans="1:9" x14ac:dyDescent="0.4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3" t="s">
        <v>118</v>
      </c>
      <c r="C29" s="94"/>
      <c r="D29" s="94"/>
      <c r="E29" s="94"/>
      <c r="F29" s="94"/>
      <c r="G29" s="94"/>
      <c r="H29" s="95"/>
      <c r="I29" s="1"/>
    </row>
    <row r="30" spans="1:9" x14ac:dyDescent="0.4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40414793.118996315</v>
      </c>
      <c r="H30" s="14" t="s">
        <v>3</v>
      </c>
      <c r="I30" s="1"/>
    </row>
    <row r="31" spans="1:9" x14ac:dyDescent="0.4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238099.33975294279</v>
      </c>
      <c r="H31" s="14" t="s">
        <v>3</v>
      </c>
      <c r="I31" s="1"/>
    </row>
    <row r="32" spans="1:9" x14ac:dyDescent="0.4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77227.565916377382</v>
      </c>
      <c r="H32" s="14" t="s">
        <v>3</v>
      </c>
      <c r="I32" s="1"/>
    </row>
    <row r="33" spans="1:9" x14ac:dyDescent="0.4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4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714025.27910376363</v>
      </c>
      <c r="H34" s="14" t="s">
        <v>3</v>
      </c>
      <c r="I34" s="1"/>
    </row>
    <row r="35" spans="1:9" x14ac:dyDescent="0.45">
      <c r="A35" s="1"/>
      <c r="B35" s="45"/>
      <c r="C35" s="46"/>
      <c r="D35" s="46"/>
      <c r="E35" s="46"/>
      <c r="F35" s="46"/>
      <c r="G35" s="46"/>
      <c r="H35" s="22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3" t="s">
        <v>129</v>
      </c>
      <c r="C37" s="94"/>
      <c r="D37" s="94"/>
      <c r="E37" s="94"/>
      <c r="F37" s="94"/>
      <c r="G37" s="94"/>
      <c r="H37" s="95"/>
      <c r="I37" s="1"/>
    </row>
    <row r="38" spans="1:9" x14ac:dyDescent="0.4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40482872.966338433</v>
      </c>
      <c r="H38" s="14" t="s">
        <v>3</v>
      </c>
      <c r="I38" s="1"/>
    </row>
    <row r="39" spans="1:9" x14ac:dyDescent="0.4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4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1149713.5922440116</v>
      </c>
      <c r="H40" s="14" t="s">
        <v>3</v>
      </c>
      <c r="I40" s="1"/>
    </row>
    <row r="41" spans="1:9" x14ac:dyDescent="0.45">
      <c r="A41" s="1"/>
      <c r="B41" s="45"/>
      <c r="C41" s="46"/>
      <c r="D41" s="46"/>
      <c r="E41" s="46"/>
      <c r="F41" s="46"/>
      <c r="G41" s="46"/>
      <c r="H41" s="22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3" t="s">
        <v>130</v>
      </c>
      <c r="C43" s="94"/>
      <c r="D43" s="94"/>
      <c r="E43" s="94"/>
      <c r="F43" s="94"/>
      <c r="G43" s="94"/>
      <c r="H43" s="95"/>
      <c r="I43" s="1"/>
    </row>
    <row r="44" spans="1:9" x14ac:dyDescent="0.4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40108022.613764085</v>
      </c>
      <c r="H44" s="14" t="s">
        <v>3</v>
      </c>
      <c r="I44" s="1"/>
    </row>
    <row r="45" spans="1:9" x14ac:dyDescent="0.4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4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1139067.8422309002</v>
      </c>
      <c r="H46" s="14" t="s">
        <v>3</v>
      </c>
      <c r="I46" s="1"/>
    </row>
    <row r="47" spans="1:9" x14ac:dyDescent="0.45">
      <c r="A47" s="1"/>
      <c r="B47" s="45"/>
      <c r="C47" s="46"/>
      <c r="D47" s="46"/>
      <c r="E47" s="46"/>
      <c r="F47" s="46"/>
      <c r="G47" s="46"/>
      <c r="H47" s="22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RJMbWq0c0cwVA1ZMNgxgwDRagdui21vVlaENwUb3KAt1vlFhxnDxYXtRH5CXxRvK7OklkhP2AwT6TOzRQfAyg==" saltValue="YgKfaAv6kj4B/WMYNpvJLw==" spinCount="100000" sheet="1" objects="1" scenarios="1"/>
  <mergeCells count="32"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102" t="s">
        <v>131</v>
      </c>
      <c r="C9" s="103"/>
      <c r="D9" s="103"/>
      <c r="E9" s="103"/>
      <c r="F9" s="104"/>
      <c r="G9" s="25">
        <v>4.4280032972038412E-3</v>
      </c>
      <c r="H9" s="14"/>
      <c r="I9" s="1"/>
    </row>
    <row r="10" spans="1:9" x14ac:dyDescent="0.4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2"/>
      <c r="I11" s="1"/>
    </row>
    <row r="12" spans="1:9" ht="40.5" customHeight="1" x14ac:dyDescent="0.45">
      <c r="A12" s="1"/>
      <c r="B12" s="75" t="s">
        <v>212</v>
      </c>
      <c r="C12" s="76"/>
      <c r="D12" s="76"/>
      <c r="E12" s="76"/>
      <c r="F12" s="76"/>
      <c r="G12" s="76"/>
      <c r="H12" s="77"/>
      <c r="I12" s="1"/>
    </row>
    <row r="13" spans="1:9" ht="30.75" customHeight="1" x14ac:dyDescent="0.4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3MJrBOgq8YGmrXSptP6Z1fwOcd9zKXdSqR+nJ9UqgbBaiPfhlJp3V+isdhqjuviGxW+/dMMK7xlhpQ5wPTATTQ==" saltValue="eIOnJjAWE+LOnT0WKnuIiQ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2019-09-06T10:02:09Z</dcterms:modified>
</cp:coreProperties>
</file>