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Rudersdal Forsyning AS (V156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4" i="11" l="1"/>
  <c r="E13" i="11"/>
  <c r="E12" i="11"/>
  <c r="E11" i="11"/>
  <c r="E15" i="11" l="1"/>
  <c r="E16" i="11"/>
  <c r="E10" i="11"/>
  <c r="E18" i="32" l="1"/>
  <c r="E9" i="32"/>
  <c r="E32" i="32" l="1"/>
  <c r="E9" i="40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E13" i="39"/>
  <c r="E12" i="39"/>
  <c r="E14" i="39" s="1"/>
  <c r="C25" i="2" s="1"/>
  <c r="E29" i="39"/>
  <c r="E28" i="39"/>
  <c r="C37" i="39"/>
  <c r="C36" i="39"/>
  <c r="E21" i="39"/>
  <c r="E20" i="39"/>
  <c r="E37" i="39"/>
  <c r="E36" i="39"/>
  <c r="E30" i="39" l="1"/>
  <c r="C20" i="22" s="1"/>
  <c r="C21" i="22" s="1"/>
  <c r="C22" i="39"/>
  <c r="C20" i="15" s="1"/>
  <c r="C38" i="39"/>
  <c r="C19" i="23" s="1"/>
  <c r="E38" i="39"/>
  <c r="C20" i="23" s="1"/>
  <c r="E22" i="39"/>
  <c r="C21" i="15" s="1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17" i="11" l="1"/>
  <c r="C10" i="37" s="1"/>
  <c r="C12" i="37" s="1"/>
  <c r="C13" i="37" s="1"/>
  <c r="C10" i="2" s="1"/>
  <c r="G17" i="11"/>
  <c r="E11" i="21" l="1"/>
  <c r="C11" i="21"/>
  <c r="E11" i="29"/>
  <c r="C11" i="29"/>
  <c r="C15" i="19"/>
  <c r="C16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7" i="11"/>
  <c r="E10" i="37" s="1"/>
  <c r="E12" i="37" s="1"/>
  <c r="E13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<sst xmlns="http://schemas.openxmlformats.org/spreadsheetml/2006/main" count="608" uniqueCount="251">
  <si>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</si>
  <si>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</si>
  <si>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</si>
  <si>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</si>
  <si>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</si>
  <si>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</si>
  <si>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</si>
  <si>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</si>
  <si>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</si>
  <si>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</si>
  <si>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</si>
  <si>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</si>
  <si>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</si>
  <si>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</si>
  <si>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</si>
  <si>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</si>
  <si>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</si>
  <si>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</si>
  <si>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</si>
  <si>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</si>
  <si>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</si>
  <si>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</si>
  <si>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</si>
  <si>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</si>
  <si>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</si>
  <si>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</si>
  <si>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</si>
  <si>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</si>
  <si>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</si>
  <si>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</si>
  <si>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</si>
  <si>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</si>
  <si>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</si>
  <si>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</si>
  <si>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</si>
  <si>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</si>
  <si>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</si>
  <si>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</si>
  <si>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</si>
  <si>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</si>
  <si>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</si>
  <si>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</si>
  <si>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</si>
  <si>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</si>
  <si>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</si>
  <si>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</si>
  <si>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</si>
  <si>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</si>
  <si>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</si>
  <si>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</si>
  <si>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</si>
  <si>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</si>
  <si>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</si>
  <si>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</si>
  <si>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</si>
  <si>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</si>
  <si>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</si>
  <si>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</si>
  <si>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</si>
  <si>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</si>
  <si>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</si>
  <si>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</si>
  <si>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</si>
  <si>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</si>
  <si>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</si>
  <si>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</si>
  <si>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</si>
  <si>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</si>
  <si>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</si>
  <si>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</si>
  <si>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</si>
  <si>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</si>
  <si>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</si>
  <si>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</si>
  <si>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</si>
  <si>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</si>
  <si>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</si>
  <si>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</si>
  <si>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</si>
  <si>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</si>
  <si>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</si>
  <si>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</si>
  <si>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</si>
  <si>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</si>
  <si>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</si>
  <si>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</si>
  <si>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</si>
  <si>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</si>
  <si>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</si>
  <si>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</si>
  <si>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</si>
  <si>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</si>
  <si>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</si>
  <si>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</si>
  <si>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</si>
  <si>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</si>
  <si>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</si>
  <si>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</si>
  <si>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</si>
  <si>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</si>
  <si>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</si>
  <si>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</si>
  <si>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</si>
  <si>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</si>
  <si>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</si>
  <si>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</si>
  <si>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</si>
  <si>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</si>
  <si>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</si>
  <si>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</si>
  <si>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</si>
  <si>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</si>
  <si>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</si>
  <si>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</si>
  <si>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</si>
  <si>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</si>
  <si>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</si>
  <si>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</si>
  <si>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</si>
  <si>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</si>
  <si>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</si>
  <si>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</si>
  <si>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</si>
  <si>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</si>
  <si>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</si>
  <si>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</si>
  <si>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</si>
  <si>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</si>
  <si>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</si>
  <si>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</si>
  <si>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</si>
  <si>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</si>
  <si>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</si>
  <si>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</si>
  <si>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</si>
  <si>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</si>
  <si>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</si>
  <si>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</si>
  <si>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</si>
  <si>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</si>
  <si>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</si>
  <si>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</si>
  <si>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</si>
  <si>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</si>
  <si>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</si>
  <si>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</si>
  <si>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</si>
  <si>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</si>
  <si>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</si>
  <si>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</si>
  <si>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</si>
  <si>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</si>
  <si>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</si>
  <si>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</si>
  <si>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</si>
  <si>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</si>
  <si>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</si>
  <si>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</si>
  <si>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</si>
  <si>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</si>
  <si>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</si>
  <si>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</si>
  <si>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</si>
  <si>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</si>
  <si>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</si>
  <si>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</si>
  <si>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</si>
  <si>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</si>
  <si>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</si>
  <si>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</si>
  <si>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</si>
  <si>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</si>
  <si>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</si>
  <si>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</si>
  <si>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</si>
  <si>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</si>
  <si>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</si>
  <si>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</si>
  <si>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</si>
  <si>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</si>
  <si>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</si>
  <si>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</si>
  <si>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</si>
  <si>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</si>
  <si>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</si>
  <si>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</si>
  <si>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</si>
  <si>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</si>
  <si>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</si>
  <si>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</si>
  <si>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</si>
  <si>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</si>
  <si>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</si>
  <si>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</si>
  <si>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</si>
  <si>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</si>
  <si>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</si>
  <si>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</si>
  <si>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</si>
  <si>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</si>
  <si>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</si>
  <si>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</si>
  <si>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</si>
  <si>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</si>
  <si>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</si>
  <si>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</si>
  <si>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</si>
  <si>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</si>
  <si>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</si>
  <si>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</si>
  <si>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</si>
  <si>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</si>
  <si>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</si>
  <si>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</si>
  <si>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</si>
  <si>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</si>
  <si>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</si>
  <si>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</si>
  <si>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</si>
  <si>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</si>
  <si>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</si>
  <si>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</si>
  <si>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</si>
  <si>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</si>
  <si>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</si>
  <si>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</si>
  <si>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</si>
  <si>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</si>
  <si>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</si>
  <si>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</si>
  <si>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</si>
  <si>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</si>
  <si>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</si>
  <si>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</si>
  <si>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</si>
  <si>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</si>
  <si>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</si>
  <si>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</si>
  <si>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Tjenestemandspensioner</t>
  </si>
  <si>
    <t>Byggemodning Langhaven og nye tilslutninger</t>
  </si>
  <si>
    <t>Ingen engangstillæg</t>
  </si>
  <si>
    <t>SRO-anlæg, vandværk</t>
  </si>
  <si>
    <t>Beluftningsanlæg, rislebakke, Mek./EL</t>
  </si>
  <si>
    <t>Elanlæg - vandværk</t>
  </si>
  <si>
    <t>Filteranlæg, åbne filtre, enkelt filtrering, Mek./EL</t>
  </si>
  <si>
    <t>Beluftningsanlæg, rislebakke, Kontruktioner</t>
  </si>
  <si>
    <t>Filteranlæg, åbne filtre, enkelt filtrering, Kontruktioner</t>
  </si>
  <si>
    <t>Lager</t>
  </si>
  <si>
    <t>Anlægsprojekter igangsat senest 1. marts 2016</t>
  </si>
  <si>
    <t>Til indregning i den økonomiske ramme for 2020</t>
  </si>
  <si>
    <t>Tillæg/fradrag i den økonomiske ramme for 2020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</si>
</sst>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  <sheetName val="Ark1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>
        <row r="3">
          <cell r="A3" t="str">
            <v>S016</v>
          </cell>
        </row>
      </sheetData>
      <sheetData sheetId="3">
        <row r="1">
          <cell r="B1" t="str">
            <v>ØR 2018-2021 samt statusmeddelelser</v>
          </cell>
        </row>
      </sheetData>
      <sheetData sheetId="4">
        <row r="1">
          <cell r="A1" t="str">
            <v>AABBABAABBB[</v>
          </cell>
        </row>
      </sheetData>
      <sheetData sheetId="5">
        <row r="5">
          <cell r="C5">
            <v>1.0168999999999999</v>
          </cell>
        </row>
      </sheetData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4" t="s">
        <v>4</v>
      </c>
      <c r="E6" s="54"/>
      <c r="F6" s="54"/>
      <c r="G6" s="54"/>
      <c r="H6" s="3"/>
      <c r="I6" s="1"/>
    </row>
    <row r="7" spans="1:9" ht="15" customHeight="1" x14ac:dyDescent="0.25">
      <c r="A7" s="1"/>
      <c r="B7" s="1"/>
      <c r="C7" s="3"/>
      <c r="D7" s="54"/>
      <c r="E7" s="54"/>
      <c r="F7" s="54"/>
      <c r="G7" s="54"/>
      <c r="H7" s="3"/>
      <c r="I7" s="1"/>
    </row>
    <row r="8" spans="1:9" ht="15.75" x14ac:dyDescent="0.25">
      <c r="A8" s="1"/>
      <c r="B8" s="1"/>
      <c r="C8" s="4"/>
      <c r="D8" s="59" t="s">
        <v>192</v>
      </c>
      <c r="E8" s="59"/>
      <c r="F8" s="59"/>
      <c r="G8" s="5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8" t="s">
        <v>5</v>
      </c>
      <c r="E11" s="58"/>
      <c r="F11" s="58"/>
      <c r="G11" s="5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1" t="s">
        <v>56</v>
      </c>
      <c r="E13" s="52"/>
      <c r="F13" s="52"/>
      <c r="G13" s="53"/>
      <c r="H13" s="1"/>
      <c r="I13" s="1"/>
    </row>
    <row r="14" spans="1:9" x14ac:dyDescent="0.25">
      <c r="A14" s="1"/>
      <c r="B14" s="1"/>
      <c r="C14" s="6" t="s">
        <v>22</v>
      </c>
      <c r="D14" s="51" t="s">
        <v>177</v>
      </c>
      <c r="E14" s="52"/>
      <c r="F14" s="52"/>
      <c r="G14" s="53"/>
      <c r="H14" s="1"/>
      <c r="I14" s="1"/>
    </row>
    <row r="15" spans="1:9" x14ac:dyDescent="0.25">
      <c r="A15" s="1"/>
      <c r="B15" s="1"/>
      <c r="C15" s="6" t="s">
        <v>55</v>
      </c>
      <c r="D15" s="51" t="s">
        <v>133</v>
      </c>
      <c r="E15" s="52"/>
      <c r="F15" s="52"/>
      <c r="G15" s="53"/>
      <c r="H15" s="1"/>
      <c r="I15" s="1"/>
    </row>
    <row r="16" spans="1:9" x14ac:dyDescent="0.25">
      <c r="A16" s="1"/>
      <c r="B16" s="1"/>
      <c r="C16" s="6" t="s">
        <v>57</v>
      </c>
      <c r="D16" s="51" t="s">
        <v>134</v>
      </c>
      <c r="E16" s="52"/>
      <c r="F16" s="52"/>
      <c r="G16" s="53"/>
      <c r="H16" s="1"/>
      <c r="I16" s="1"/>
    </row>
    <row r="17" spans="1:9" x14ac:dyDescent="0.25">
      <c r="A17" s="1"/>
      <c r="B17" s="1"/>
      <c r="C17" s="6" t="s">
        <v>224</v>
      </c>
      <c r="D17" s="51" t="s">
        <v>66</v>
      </c>
      <c r="E17" s="52"/>
      <c r="F17" s="52"/>
      <c r="G17" s="53"/>
      <c r="H17" s="1"/>
      <c r="I17" s="1"/>
    </row>
    <row r="18" spans="1:9" x14ac:dyDescent="0.25">
      <c r="A18" s="1"/>
      <c r="B18" s="1"/>
      <c r="C18" s="34" t="s">
        <v>196</v>
      </c>
      <c r="D18" s="60" t="s">
        <v>162</v>
      </c>
      <c r="E18" s="61"/>
      <c r="F18" s="61"/>
      <c r="G18" s="62"/>
      <c r="H18" s="1"/>
      <c r="I18" s="1"/>
    </row>
    <row r="19" spans="1:9" x14ac:dyDescent="0.25">
      <c r="A19" s="1"/>
      <c r="B19" s="1"/>
      <c r="C19" s="34" t="s">
        <v>197</v>
      </c>
      <c r="D19" s="60" t="s">
        <v>163</v>
      </c>
      <c r="E19" s="61"/>
      <c r="F19" s="61"/>
      <c r="G19" s="62"/>
      <c r="H19" s="1"/>
      <c r="I19" s="1"/>
    </row>
    <row r="20" spans="1:9" x14ac:dyDescent="0.25">
      <c r="A20" s="1"/>
      <c r="B20" s="1"/>
      <c r="C20" s="34" t="s">
        <v>7</v>
      </c>
      <c r="D20" s="60" t="s">
        <v>10</v>
      </c>
      <c r="E20" s="61"/>
      <c r="F20" s="61"/>
      <c r="G20" s="62"/>
      <c r="H20" s="1"/>
      <c r="I20" s="1"/>
    </row>
    <row r="21" spans="1:9" x14ac:dyDescent="0.25">
      <c r="A21" s="1"/>
      <c r="B21" s="1"/>
      <c r="C21" s="6" t="s">
        <v>198</v>
      </c>
      <c r="D21" s="69" t="s">
        <v>17</v>
      </c>
      <c r="E21" s="70"/>
      <c r="F21" s="70"/>
      <c r="G21" s="71"/>
      <c r="H21" s="1"/>
      <c r="I21" s="1"/>
    </row>
    <row r="22" spans="1:9" x14ac:dyDescent="0.25">
      <c r="A22" s="1"/>
      <c r="B22" s="1"/>
      <c r="C22" s="6" t="s">
        <v>140</v>
      </c>
      <c r="D22" s="55" t="s">
        <v>161</v>
      </c>
      <c r="E22" s="56"/>
      <c r="F22" s="56"/>
      <c r="G22" s="57"/>
      <c r="H22" s="1"/>
      <c r="I22" s="1"/>
    </row>
    <row r="23" spans="1:9" x14ac:dyDescent="0.25">
      <c r="A23" s="1"/>
      <c r="B23" s="1"/>
      <c r="C23" s="6" t="s">
        <v>8</v>
      </c>
      <c r="D23" s="55" t="s">
        <v>225</v>
      </c>
      <c r="E23" s="56"/>
      <c r="F23" s="56"/>
      <c r="G23" s="57"/>
      <c r="H23" s="1"/>
      <c r="I23" s="1"/>
    </row>
    <row r="24" spans="1:9" x14ac:dyDescent="0.25">
      <c r="A24" s="1"/>
      <c r="B24" s="1"/>
      <c r="C24" s="6" t="s">
        <v>9</v>
      </c>
      <c r="D24" s="55" t="s">
        <v>58</v>
      </c>
      <c r="E24" s="56"/>
      <c r="F24" s="56"/>
      <c r="G24" s="57"/>
      <c r="H24" s="1"/>
      <c r="I24" s="1"/>
    </row>
    <row r="25" spans="1:9" x14ac:dyDescent="0.25">
      <c r="A25" s="1"/>
      <c r="B25" s="1"/>
      <c r="C25" s="6" t="s">
        <v>199</v>
      </c>
      <c r="D25" s="55" t="s">
        <v>141</v>
      </c>
      <c r="E25" s="56"/>
      <c r="F25" s="56"/>
      <c r="G25" s="57"/>
      <c r="H25" s="1"/>
      <c r="I25" s="1"/>
    </row>
    <row r="26" spans="1:9" x14ac:dyDescent="0.25">
      <c r="A26" s="1"/>
      <c r="B26" s="1"/>
      <c r="C26" s="6" t="s">
        <v>200</v>
      </c>
      <c r="D26" s="55" t="s">
        <v>142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201</v>
      </c>
      <c r="D27" s="55" t="s">
        <v>59</v>
      </c>
      <c r="E27" s="56"/>
      <c r="F27" s="56"/>
      <c r="G27" s="57"/>
      <c r="H27" s="1"/>
      <c r="I27" s="1"/>
    </row>
    <row r="28" spans="1:9" x14ac:dyDescent="0.25">
      <c r="A28" s="1"/>
      <c r="B28" s="1"/>
      <c r="C28" s="6" t="s">
        <v>183</v>
      </c>
      <c r="D28" s="55" t="s">
        <v>60</v>
      </c>
      <c r="E28" s="56"/>
      <c r="F28" s="56"/>
      <c r="G28" s="57"/>
      <c r="H28" s="1"/>
      <c r="I28" s="1"/>
    </row>
    <row r="29" spans="1:9" x14ac:dyDescent="0.25">
      <c r="A29" s="1"/>
      <c r="B29" s="1"/>
      <c r="C29" s="6" t="s">
        <v>61</v>
      </c>
      <c r="D29" s="63" t="s">
        <v>11</v>
      </c>
      <c r="E29" s="64"/>
      <c r="F29" s="64"/>
      <c r="G29" s="65"/>
      <c r="H29" s="1"/>
      <c r="I29" s="1"/>
    </row>
    <row r="30" spans="1:9" x14ac:dyDescent="0.25">
      <c r="A30" s="1"/>
      <c r="B30" s="1"/>
      <c r="C30" s="6" t="s">
        <v>62</v>
      </c>
      <c r="D30" s="66" t="s">
        <v>184</v>
      </c>
      <c r="E30" s="67"/>
      <c r="F30" s="67"/>
      <c r="G30" s="68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mZnI8gN7FvhESfPF2umWqYI6Y7WsvkZbvnvkpibSB3kei70oP+HmVDnPOfSXmy6DU0HNmdFMpCCoSg8j8NE4HA==" saltValue="SFBRhl7mCDnVekOoUuzt7A==" spinCount="100000" sheet="1" objects="1" scenarios="1"/>
  <mergeCells count="21"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204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69</v>
      </c>
      <c r="C8" s="96"/>
      <c r="D8" s="97"/>
      <c r="E8" s="1"/>
      <c r="F8" s="1"/>
    </row>
    <row r="9" spans="1:6" ht="15" customHeight="1" x14ac:dyDescent="0.25">
      <c r="A9" s="1"/>
      <c r="B9" s="45" t="s">
        <v>48</v>
      </c>
      <c r="C9" s="11" t="s">
        <v>70</v>
      </c>
      <c r="D9" s="11"/>
      <c r="E9" s="1"/>
      <c r="F9" s="1"/>
    </row>
    <row r="10" spans="1:6" x14ac:dyDescent="0.25">
      <c r="A10" s="1"/>
      <c r="B10" s="48" t="s">
        <v>234</v>
      </c>
      <c r="C10" s="9">
        <v>10021846</v>
      </c>
      <c r="D10" s="14" t="s">
        <v>3</v>
      </c>
      <c r="E10" s="1"/>
      <c r="F10" s="1"/>
    </row>
    <row r="11" spans="1:6" x14ac:dyDescent="0.25">
      <c r="A11" s="1"/>
      <c r="B11" s="48" t="s">
        <v>235</v>
      </c>
      <c r="C11" s="9">
        <v>32066</v>
      </c>
      <c r="D11" s="14" t="s">
        <v>3</v>
      </c>
      <c r="E11" s="1"/>
      <c r="F11" s="1"/>
    </row>
    <row r="12" spans="1:6" ht="26.25" x14ac:dyDescent="0.25">
      <c r="A12" s="1"/>
      <c r="B12" s="44" t="s">
        <v>236</v>
      </c>
      <c r="C12" s="9">
        <v>63649</v>
      </c>
      <c r="D12" s="14" t="s">
        <v>3</v>
      </c>
      <c r="E12" s="1"/>
      <c r="F12" s="1"/>
    </row>
    <row r="13" spans="1:6" x14ac:dyDescent="0.25">
      <c r="A13" s="1"/>
      <c r="B13" s="48" t="s">
        <v>237</v>
      </c>
      <c r="C13" s="9">
        <v>40148</v>
      </c>
      <c r="D13" s="14" t="s">
        <v>3</v>
      </c>
      <c r="E13" s="1"/>
      <c r="F13" s="1"/>
    </row>
    <row r="14" spans="1:6" x14ac:dyDescent="0.25">
      <c r="A14" s="1"/>
      <c r="B14" s="48" t="s">
        <v>238</v>
      </c>
      <c r="C14" s="9">
        <v>58845</v>
      </c>
      <c r="D14" s="14" t="s">
        <v>3</v>
      </c>
      <c r="E14" s="1"/>
      <c r="F14" s="1"/>
    </row>
    <row r="15" spans="1:6" x14ac:dyDescent="0.25">
      <c r="A15" s="1"/>
      <c r="B15" s="39" t="s">
        <v>71</v>
      </c>
      <c r="C15" s="12">
        <f>SUM(C10:C14)</f>
        <v>10216554</v>
      </c>
      <c r="D15" s="13" t="s">
        <v>3</v>
      </c>
      <c r="E15" s="1"/>
      <c r="F15" s="1"/>
    </row>
    <row r="16" spans="1:6" x14ac:dyDescent="0.25">
      <c r="A16" s="1"/>
      <c r="B16" s="39" t="s">
        <v>72</v>
      </c>
      <c r="C16" s="12">
        <f>C15*(1+'Fane 14. Nøgletal'!C12)^2</f>
        <v>10623051.170041861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m0273O3wj5aIP1ZEqlswgIK7BQ0hx7u5qB0k6Dv7VL7Xd3m5e/hD6ZmDLca25DsMxUFehWiQ3v0p+mmmcdDU6A==" saltValue="B8W57+0e3yfgyxB8cuIvR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205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43"/>
      <c r="C5" s="43"/>
      <c r="D5" s="43"/>
      <c r="E5" s="43"/>
      <c r="F5" s="43"/>
      <c r="G5" s="1"/>
    </row>
    <row r="6" spans="1:7" ht="15" customHeight="1" x14ac:dyDescent="0.25">
      <c r="A6" s="1"/>
      <c r="B6" s="95" t="s">
        <v>52</v>
      </c>
      <c r="C6" s="96"/>
      <c r="D6" s="96"/>
      <c r="E6" s="96"/>
      <c r="F6" s="97"/>
      <c r="G6" s="1"/>
    </row>
    <row r="7" spans="1:7" ht="15" customHeight="1" x14ac:dyDescent="0.25">
      <c r="A7" s="1"/>
      <c r="B7" s="98" t="s">
        <v>50</v>
      </c>
      <c r="C7" s="99"/>
      <c r="D7" s="100"/>
      <c r="E7" s="9">
        <v>928124.20050000004</v>
      </c>
      <c r="F7" s="14" t="s">
        <v>3</v>
      </c>
      <c r="G7" s="1"/>
    </row>
    <row r="8" spans="1:7" ht="15" customHeight="1" x14ac:dyDescent="0.25">
      <c r="A8" s="1"/>
      <c r="B8" s="98" t="s">
        <v>51</v>
      </c>
      <c r="C8" s="99"/>
      <c r="D8" s="100"/>
      <c r="E8" s="9">
        <v>0</v>
      </c>
      <c r="F8" s="14" t="s">
        <v>3</v>
      </c>
      <c r="G8" s="1"/>
    </row>
    <row r="9" spans="1:7" ht="15" customHeight="1" x14ac:dyDescent="0.25">
      <c r="A9" s="1"/>
      <c r="B9" s="106" t="s">
        <v>186</v>
      </c>
      <c r="C9" s="107"/>
      <c r="D9" s="108"/>
      <c r="E9" s="10">
        <f>SUM(E7:E8)</f>
        <v>928124.20050000004</v>
      </c>
      <c r="F9" s="17" t="s">
        <v>3</v>
      </c>
      <c r="G9" s="1"/>
    </row>
    <row r="10" spans="1:7" ht="15" customHeight="1" x14ac:dyDescent="0.25">
      <c r="A10" s="1"/>
      <c r="B10" s="39"/>
      <c r="C10" s="40"/>
      <c r="D10" s="40"/>
      <c r="E10" s="40"/>
      <c r="F10" s="22"/>
      <c r="G10" s="1"/>
    </row>
    <row r="11" spans="1:7" ht="28.5" customHeight="1" x14ac:dyDescent="0.25">
      <c r="A11" s="1"/>
      <c r="B11" s="74" t="s">
        <v>188</v>
      </c>
      <c r="C11" s="75"/>
      <c r="D11" s="75"/>
      <c r="E11" s="75"/>
      <c r="F11" s="7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165</v>
      </c>
      <c r="C14" s="96"/>
      <c r="D14" s="96"/>
      <c r="E14" s="96"/>
      <c r="F14" s="97"/>
      <c r="G14" s="1"/>
    </row>
    <row r="15" spans="1:7" x14ac:dyDescent="0.25">
      <c r="A15" s="1"/>
      <c r="B15" s="98" t="s">
        <v>166</v>
      </c>
      <c r="C15" s="99"/>
      <c r="D15" s="100"/>
      <c r="E15" s="9">
        <v>27713682.064161867</v>
      </c>
      <c r="F15" s="14" t="s">
        <v>3</v>
      </c>
      <c r="G15" s="1"/>
    </row>
    <row r="16" spans="1:7" x14ac:dyDescent="0.25">
      <c r="A16" s="1"/>
      <c r="B16" s="98" t="s">
        <v>167</v>
      </c>
      <c r="C16" s="99"/>
      <c r="D16" s="100"/>
      <c r="E16" s="9">
        <v>27187528</v>
      </c>
      <c r="F16" s="14" t="s">
        <v>3</v>
      </c>
      <c r="G16" s="1"/>
    </row>
    <row r="17" spans="1:7" x14ac:dyDescent="0.25">
      <c r="A17" s="1"/>
      <c r="B17" s="98" t="s">
        <v>49</v>
      </c>
      <c r="C17" s="99"/>
      <c r="D17" s="100"/>
      <c r="E17" s="9">
        <v>0</v>
      </c>
      <c r="F17" s="14" t="s">
        <v>3</v>
      </c>
      <c r="G17" s="1"/>
    </row>
    <row r="18" spans="1:7" x14ac:dyDescent="0.25">
      <c r="A18" s="1"/>
      <c r="B18" s="106" t="s">
        <v>187</v>
      </c>
      <c r="C18" s="107"/>
      <c r="D18" s="108"/>
      <c r="E18" s="10">
        <f>E15-(E16-E17)</f>
        <v>526154.0641618669</v>
      </c>
      <c r="F18" s="17" t="s">
        <v>3</v>
      </c>
      <c r="G18" s="1"/>
    </row>
    <row r="19" spans="1:7" x14ac:dyDescent="0.25">
      <c r="A19" s="1"/>
      <c r="B19" s="39"/>
      <c r="C19" s="40"/>
      <c r="D19" s="40"/>
      <c r="E19" s="40"/>
      <c r="F19" s="22"/>
      <c r="G19" s="1"/>
    </row>
    <row r="20" spans="1:7" ht="30" customHeight="1" x14ac:dyDescent="0.25">
      <c r="A20" s="1"/>
      <c r="B20" s="74" t="s">
        <v>189</v>
      </c>
      <c r="C20" s="75"/>
      <c r="D20" s="75"/>
      <c r="E20" s="75"/>
      <c r="F20" s="7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5" t="s">
        <v>77</v>
      </c>
      <c r="C23" s="96"/>
      <c r="D23" s="96"/>
      <c r="E23" s="96"/>
      <c r="F23" s="97"/>
      <c r="G23" s="1"/>
    </row>
    <row r="24" spans="1:7" x14ac:dyDescent="0.25">
      <c r="A24" s="1"/>
      <c r="B24" s="98" t="s">
        <v>78</v>
      </c>
      <c r="C24" s="99"/>
      <c r="D24" s="100"/>
      <c r="E24" s="9">
        <v>26133578.627521016</v>
      </c>
      <c r="F24" s="14" t="s">
        <v>3</v>
      </c>
      <c r="G24" s="1"/>
    </row>
    <row r="25" spans="1:7" x14ac:dyDescent="0.25">
      <c r="A25" s="1"/>
      <c r="B25" s="98" t="s">
        <v>79</v>
      </c>
      <c r="C25" s="99"/>
      <c r="D25" s="100"/>
      <c r="E25" s="9">
        <v>25975610</v>
      </c>
      <c r="F25" s="14" t="s">
        <v>3</v>
      </c>
      <c r="G25" s="1"/>
    </row>
    <row r="26" spans="1:7" x14ac:dyDescent="0.25">
      <c r="A26" s="1"/>
      <c r="B26" s="98" t="s">
        <v>49</v>
      </c>
      <c r="C26" s="99"/>
      <c r="D26" s="100"/>
      <c r="E26" s="9">
        <v>0</v>
      </c>
      <c r="F26" s="14" t="s">
        <v>3</v>
      </c>
      <c r="G26" s="1"/>
    </row>
    <row r="27" spans="1:7" x14ac:dyDescent="0.25">
      <c r="A27" s="1"/>
      <c r="B27" s="106" t="s">
        <v>187</v>
      </c>
      <c r="C27" s="107"/>
      <c r="D27" s="108"/>
      <c r="E27" s="10">
        <f>E24-(E25-E26)</f>
        <v>157968.6275210157</v>
      </c>
      <c r="F27" s="17" t="s">
        <v>3</v>
      </c>
      <c r="G27" s="1"/>
    </row>
    <row r="28" spans="1:7" x14ac:dyDescent="0.25">
      <c r="A28" s="1"/>
      <c r="B28" s="39"/>
      <c r="C28" s="40"/>
      <c r="D28" s="40"/>
      <c r="E28" s="40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5" t="s">
        <v>249</v>
      </c>
      <c r="C31" s="96"/>
      <c r="D31" s="96"/>
      <c r="E31" s="96"/>
      <c r="F31" s="97"/>
      <c r="G31" s="1"/>
    </row>
    <row r="32" spans="1:7" x14ac:dyDescent="0.25">
      <c r="A32" s="1"/>
      <c r="B32" s="106" t="s">
        <v>250</v>
      </c>
      <c r="C32" s="107"/>
      <c r="D32" s="108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464062.10025000002</v>
      </c>
      <c r="F32" s="17" t="s">
        <v>3</v>
      </c>
      <c r="G32" s="1"/>
    </row>
    <row r="33" spans="1:7" x14ac:dyDescent="0.25">
      <c r="A33" s="1"/>
      <c r="B33" s="95"/>
      <c r="C33" s="96"/>
      <c r="D33" s="96"/>
      <c r="E33" s="96"/>
      <c r="F33" s="97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5" t="s">
        <v>180</v>
      </c>
      <c r="C36" s="96"/>
      <c r="D36" s="96"/>
      <c r="E36" s="96"/>
      <c r="F36" s="97"/>
      <c r="G36" s="1"/>
    </row>
    <row r="37" spans="1:7" x14ac:dyDescent="0.25">
      <c r="A37" s="1"/>
      <c r="B37" s="109" t="s">
        <v>53</v>
      </c>
      <c r="C37" s="110"/>
      <c r="D37" s="111"/>
      <c r="E37" s="9">
        <f>IF(AND(E9&gt;0,E18&gt;0),IF(E18+E27&gt;=0,0,IF(E18+E27&lt;0,E18+E27,0)),IF(AND(E9&lt;0,E18&gt;0,ABS(E9)&lt;ABS(E18)),IF(E9+E18+E27&gt;=0,0,IF(E9+E18+E27&lt;0,E9+E18+E27,0)),IF(E27&gt;=0,0,E27)))</f>
        <v>0</v>
      </c>
      <c r="F37" s="14" t="s">
        <v>3</v>
      </c>
      <c r="G37" s="1"/>
    </row>
    <row r="38" spans="1:7" x14ac:dyDescent="0.25">
      <c r="A38" s="1"/>
      <c r="B38" s="109" t="s">
        <v>185</v>
      </c>
      <c r="C38" s="110"/>
      <c r="D38" s="111"/>
      <c r="E38" s="9">
        <v>2</v>
      </c>
      <c r="F38" s="14" t="s">
        <v>27</v>
      </c>
      <c r="G38" s="1"/>
    </row>
    <row r="39" spans="1:7" ht="15" customHeight="1" x14ac:dyDescent="0.25">
      <c r="A39" s="1"/>
      <c r="B39" s="106" t="s">
        <v>227</v>
      </c>
      <c r="C39" s="107"/>
      <c r="D39" s="108"/>
      <c r="E39" s="10">
        <f>E37/E38</f>
        <v>0</v>
      </c>
      <c r="F39" s="17" t="s">
        <v>3</v>
      </c>
      <c r="G39" s="1"/>
    </row>
    <row r="40" spans="1:7" x14ac:dyDescent="0.25">
      <c r="A40" s="1"/>
      <c r="B40" s="95"/>
      <c r="C40" s="96"/>
      <c r="D40" s="96"/>
      <c r="E40" s="96"/>
      <c r="F40" s="97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VkoDf1OfJV8H1eXHTXmGTRXaQG+HLUTFokJkhoIXm5M4etH+EXJYRcqq28I5L5r0WEfpbSiUJ+Yo1lHXLWaOSQ==" saltValue="4J1Xsa91JtM+86fXU5RghQ==" spinCount="100000" sheet="1" objects="1" scenarios="1"/>
  <mergeCells count="25"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228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159</v>
      </c>
      <c r="C8" s="96"/>
      <c r="D8" s="96"/>
      <c r="E8" s="96"/>
      <c r="F8" s="96"/>
      <c r="G8" s="1"/>
    </row>
    <row r="9" spans="1:7" ht="29.25" customHeight="1" x14ac:dyDescent="0.25">
      <c r="A9" s="1"/>
      <c r="B9" s="86" t="s">
        <v>164</v>
      </c>
      <c r="C9" s="87"/>
      <c r="D9" s="88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25">
      <c r="A10" s="1"/>
      <c r="B10" s="39" t="s">
        <v>175</v>
      </c>
      <c r="C10" s="40"/>
      <c r="D10" s="40"/>
      <c r="E10" s="12">
        <f>E9</f>
        <v>0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SdVYHM4MxbO/HSYePhV2aqDCcqdNbNqBc9AZXXulUxSIEADL0W5w4Lyrpx7P9/rMT8MLIF5z5Zo41sEPJMOBQg==" saltValue="bXm2XADAyR8W6gSVtsv3d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2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229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230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2"/>
      <c r="I9" s="1"/>
    </row>
    <row r="10" spans="1:9" x14ac:dyDescent="0.25">
      <c r="A10" s="1"/>
      <c r="B10" s="115" t="s">
        <v>241</v>
      </c>
      <c r="C10" s="116">
        <v>10</v>
      </c>
      <c r="D10" s="9">
        <v>1959259</v>
      </c>
      <c r="E10" s="9">
        <f>IFERROR(D10/C10,0)</f>
        <v>195925.9</v>
      </c>
      <c r="F10" s="9">
        <v>0</v>
      </c>
      <c r="G10" s="9">
        <v>51528</v>
      </c>
      <c r="H10" s="14" t="s">
        <v>3</v>
      </c>
      <c r="I10" s="1"/>
    </row>
    <row r="11" spans="1:9" ht="26.25" x14ac:dyDescent="0.25">
      <c r="A11" s="1"/>
      <c r="B11" s="115" t="s">
        <v>242</v>
      </c>
      <c r="C11" s="116">
        <v>25</v>
      </c>
      <c r="D11" s="9">
        <v>979629</v>
      </c>
      <c r="E11" s="9">
        <f t="shared" ref="E11:E14" si="0">IFERROR(D11/C11,0)</f>
        <v>39185.160000000003</v>
      </c>
      <c r="F11" s="9">
        <v>0</v>
      </c>
      <c r="G11" s="9">
        <v>25764</v>
      </c>
      <c r="H11" s="14" t="s">
        <v>3</v>
      </c>
      <c r="I11" s="1"/>
    </row>
    <row r="12" spans="1:9" x14ac:dyDescent="0.25">
      <c r="A12" s="1"/>
      <c r="B12" s="115" t="s">
        <v>243</v>
      </c>
      <c r="C12" s="116">
        <v>25</v>
      </c>
      <c r="D12" s="9">
        <v>979629</v>
      </c>
      <c r="E12" s="9">
        <f t="shared" si="0"/>
        <v>39185.160000000003</v>
      </c>
      <c r="F12" s="9">
        <v>0</v>
      </c>
      <c r="G12" s="9">
        <v>25764</v>
      </c>
      <c r="H12" s="14" t="s">
        <v>3</v>
      </c>
      <c r="I12" s="1"/>
    </row>
    <row r="13" spans="1:9" ht="26.25" x14ac:dyDescent="0.25">
      <c r="A13" s="1"/>
      <c r="B13" s="115" t="s">
        <v>244</v>
      </c>
      <c r="C13" s="116">
        <v>25</v>
      </c>
      <c r="D13" s="9">
        <v>1959259</v>
      </c>
      <c r="E13" s="9">
        <f t="shared" si="0"/>
        <v>78370.36</v>
      </c>
      <c r="F13" s="9">
        <v>0</v>
      </c>
      <c r="G13" s="9">
        <v>51529</v>
      </c>
      <c r="H13" s="14" t="s">
        <v>3</v>
      </c>
      <c r="I13" s="1"/>
    </row>
    <row r="14" spans="1:9" ht="26.25" x14ac:dyDescent="0.25">
      <c r="A14" s="1"/>
      <c r="B14" s="115" t="s">
        <v>245</v>
      </c>
      <c r="C14" s="116">
        <v>50</v>
      </c>
      <c r="D14" s="9">
        <v>1959259</v>
      </c>
      <c r="E14" s="9">
        <f t="shared" si="0"/>
        <v>39185.18</v>
      </c>
      <c r="F14" s="9">
        <v>0</v>
      </c>
      <c r="G14" s="9">
        <v>51529</v>
      </c>
      <c r="H14" s="14" t="s">
        <v>3</v>
      </c>
      <c r="I14" s="1"/>
    </row>
    <row r="15" spans="1:9" ht="39" x14ac:dyDescent="0.25">
      <c r="A15" s="1"/>
      <c r="B15" s="115" t="s">
        <v>246</v>
      </c>
      <c r="C15" s="116">
        <v>50</v>
      </c>
      <c r="D15" s="9">
        <v>9796295</v>
      </c>
      <c r="E15" s="9">
        <f t="shared" ref="E15:E16" si="1">IFERROR(D15/C15,0)</f>
        <v>195925.9</v>
      </c>
      <c r="F15" s="9">
        <v>0</v>
      </c>
      <c r="G15" s="9">
        <v>257643</v>
      </c>
      <c r="H15" s="14" t="s">
        <v>3</v>
      </c>
      <c r="I15" s="1"/>
    </row>
    <row r="16" spans="1:9" x14ac:dyDescent="0.25">
      <c r="A16" s="1"/>
      <c r="B16" s="115" t="s">
        <v>247</v>
      </c>
      <c r="C16" s="116">
        <v>75</v>
      </c>
      <c r="D16" s="9">
        <v>1959259</v>
      </c>
      <c r="E16" s="9">
        <f t="shared" si="1"/>
        <v>26123.453333333335</v>
      </c>
      <c r="F16" s="9">
        <v>0</v>
      </c>
      <c r="G16" s="9">
        <v>51528</v>
      </c>
      <c r="H16" s="14" t="s">
        <v>3</v>
      </c>
      <c r="I16" s="1"/>
    </row>
    <row r="17" spans="1:9" x14ac:dyDescent="0.25">
      <c r="A17" s="1"/>
      <c r="B17" s="95" t="s">
        <v>231</v>
      </c>
      <c r="C17" s="96"/>
      <c r="D17" s="97"/>
      <c r="E17" s="12">
        <f>SUM(E10:E16)</f>
        <v>613901.11333333328</v>
      </c>
      <c r="F17" s="12">
        <f>SUM(F10:F16)</f>
        <v>0</v>
      </c>
      <c r="G17" s="12">
        <f>SUM(G10:G16)</f>
        <v>515285</v>
      </c>
      <c r="H17" s="13" t="s">
        <v>3</v>
      </c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</sheetData>
  <sheetProtection algorithmName="SHA-512" hashValue="s/xWwFl0Stke9/oPx54smP7wdTAmxZfKlMeCw+571o6PSeg5WiI5RFi6hUCxAR30iKHWOeILJjdoby8gS6BIEQ==" saltValue="W1bao8p+q3+orFRPsHvRbA==" spinCount="100000" sheet="1" objects="1" scenarios="1"/>
  <mergeCells count="3">
    <mergeCell ref="B3:H4"/>
    <mergeCell ref="B17:D17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206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137</v>
      </c>
      <c r="C8" s="40"/>
      <c r="D8" s="40"/>
      <c r="E8" s="40"/>
      <c r="F8" s="22"/>
      <c r="G8" s="1"/>
    </row>
    <row r="9" spans="1:7" ht="17.25" customHeight="1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248</v>
      </c>
      <c r="C10" s="24">
        <f>'Fane 9. Anlægsprojekter'!F17</f>
        <v>0</v>
      </c>
      <c r="D10" s="14" t="s">
        <v>3</v>
      </c>
      <c r="E10" s="9">
        <f>SUM('Fane 9. Anlægsprojekter'!E17,'Fane 9. Anlægsprojekter'!G17)</f>
        <v>1129186.1133333333</v>
      </c>
      <c r="F10" s="14" t="s">
        <v>3</v>
      </c>
      <c r="G10" s="1"/>
    </row>
    <row r="11" spans="1:7" x14ac:dyDescent="0.25">
      <c r="A11" s="1"/>
      <c r="B11" s="117" t="s">
        <v>239</v>
      </c>
      <c r="C11" s="24">
        <v>127543</v>
      </c>
      <c r="D11" s="14" t="s">
        <v>3</v>
      </c>
      <c r="E11" s="9">
        <v>3193</v>
      </c>
      <c r="F11" s="14" t="s">
        <v>3</v>
      </c>
      <c r="G11" s="1"/>
    </row>
    <row r="12" spans="1:7" x14ac:dyDescent="0.25">
      <c r="A12" s="1"/>
      <c r="B12" s="39" t="s">
        <v>63</v>
      </c>
      <c r="C12" s="12">
        <f>SUM(C10:C11)</f>
        <v>127543</v>
      </c>
      <c r="D12" s="13" t="s">
        <v>3</v>
      </c>
      <c r="E12" s="12">
        <f>SUM(E10:E11)</f>
        <v>1132379.1133333333</v>
      </c>
      <c r="F12" s="13" t="s">
        <v>3</v>
      </c>
      <c r="G12" s="1"/>
    </row>
    <row r="13" spans="1:7" x14ac:dyDescent="0.25">
      <c r="A13" s="1"/>
      <c r="B13" s="39" t="s">
        <v>74</v>
      </c>
      <c r="C13" s="12">
        <f>C12*(1+'Fane 14. Nøgletal'!C12)</f>
        <v>130055.59710000001</v>
      </c>
      <c r="D13" s="13" t="s">
        <v>3</v>
      </c>
      <c r="E13" s="12">
        <f>E12*(1+'Fane 14. Nøgletal'!C12)</f>
        <v>1154686.981866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algorithmName="SHA-512" hashValue="HxFSt7fVgeqifcP3mGzyx/qp0WWoZHbeAlCLbROoDfnBMLnoZuCN4PAnfouGmPwb+9nVG7uYBVxgxGDqjnCqxA==" saltValue="0RWFO/CGTKLIN1WMIcFRb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207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168</v>
      </c>
      <c r="C8" s="96"/>
      <c r="D8" s="96"/>
      <c r="E8" s="96"/>
      <c r="F8" s="97"/>
      <c r="G8" s="1"/>
    </row>
    <row r="9" spans="1:7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240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39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169</v>
      </c>
      <c r="C16" s="96"/>
      <c r="D16" s="96"/>
      <c r="E16" s="96"/>
      <c r="F16" s="97"/>
      <c r="G16" s="1"/>
    </row>
    <row r="17" spans="1:7" x14ac:dyDescent="0.25">
      <c r="A17" s="1"/>
      <c r="B17" s="46" t="s">
        <v>24</v>
      </c>
      <c r="C17" s="46" t="s">
        <v>16</v>
      </c>
      <c r="D17" s="47"/>
      <c r="E17" s="46" t="s">
        <v>47</v>
      </c>
      <c r="F17" s="42"/>
      <c r="G17" s="1"/>
    </row>
    <row r="18" spans="1:7" x14ac:dyDescent="0.25">
      <c r="A18" s="1"/>
      <c r="B18" s="27" t="s">
        <v>240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9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39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170</v>
      </c>
      <c r="C24" s="96"/>
      <c r="D24" s="96"/>
      <c r="E24" s="96"/>
      <c r="F24" s="97"/>
      <c r="G24" s="1"/>
    </row>
    <row r="25" spans="1:7" x14ac:dyDescent="0.25">
      <c r="A25" s="1"/>
      <c r="B25" s="46" t="s">
        <v>24</v>
      </c>
      <c r="C25" s="46" t="s">
        <v>16</v>
      </c>
      <c r="D25" s="47"/>
      <c r="E25" s="46" t="s">
        <v>47</v>
      </c>
      <c r="F25" s="42"/>
      <c r="G25" s="1"/>
    </row>
    <row r="26" spans="1:7" x14ac:dyDescent="0.25">
      <c r="A26" s="1"/>
      <c r="B26" s="27" t="s">
        <v>240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9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39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171</v>
      </c>
      <c r="C32" s="96"/>
      <c r="D32" s="96"/>
      <c r="E32" s="96"/>
      <c r="F32" s="97"/>
      <c r="G32" s="1"/>
    </row>
    <row r="33" spans="1:7" x14ac:dyDescent="0.25">
      <c r="A33" s="1"/>
      <c r="B33" s="46" t="s">
        <v>24</v>
      </c>
      <c r="C33" s="46" t="s">
        <v>16</v>
      </c>
      <c r="D33" s="47"/>
      <c r="E33" s="46" t="s">
        <v>47</v>
      </c>
      <c r="F33" s="42"/>
      <c r="G33" s="1"/>
    </row>
    <row r="34" spans="1:7" x14ac:dyDescent="0.25">
      <c r="A34" s="1"/>
      <c r="B34" s="27" t="s">
        <v>240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9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39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Qzq/nzfsyu9y7+pGT6v6gODrm7q4zJzcNwoLEhmlPthvZVtOcbd9nGFguQV2djOks9Pk73MVH4frVXOYM3lb2w==" saltValue="lE2fI9PwciWDD67+MXgMh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208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31</v>
      </c>
      <c r="C8" s="96"/>
      <c r="D8" s="96"/>
      <c r="E8" s="96"/>
      <c r="F8" s="97"/>
      <c r="G8" s="1"/>
    </row>
    <row r="9" spans="1:7" ht="15" customHeight="1" x14ac:dyDescent="0.25">
      <c r="A9" s="1"/>
      <c r="B9" s="41" t="s">
        <v>32</v>
      </c>
      <c r="C9" s="86" t="s">
        <v>16</v>
      </c>
      <c r="D9" s="88"/>
      <c r="E9" s="86" t="s">
        <v>47</v>
      </c>
      <c r="F9" s="88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sVwu3qoezRNQhudS/0Y/7OBphy3RyZXlVv3BHFa2DDt6pLKvhGRMwiDuZOHAw9ZASrT6M3zUyy7A1S3tpmOReg==" saltValue="XjToGmQd8bdwDJaUzPqrO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209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25">
      <c r="A9" s="1"/>
      <c r="B9" s="41" t="s">
        <v>25</v>
      </c>
      <c r="C9" s="41" t="s">
        <v>16</v>
      </c>
      <c r="D9" s="42"/>
      <c r="E9" s="41" t="s">
        <v>47</v>
      </c>
      <c r="F9" s="42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9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5" t="s">
        <v>157</v>
      </c>
      <c r="C15" s="96"/>
      <c r="D15" s="96"/>
      <c r="E15" s="96"/>
      <c r="F15" s="97"/>
      <c r="G15" s="1"/>
    </row>
    <row r="16" spans="1:7" ht="26.25" x14ac:dyDescent="0.25">
      <c r="A16" s="1"/>
      <c r="B16" s="41" t="s">
        <v>25</v>
      </c>
      <c r="C16" s="41" t="s">
        <v>16</v>
      </c>
      <c r="D16" s="42"/>
      <c r="E16" s="41" t="s">
        <v>47</v>
      </c>
      <c r="F16" s="42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39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39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5" t="s">
        <v>155</v>
      </c>
      <c r="C22" s="96"/>
      <c r="D22" s="96"/>
      <c r="E22" s="96"/>
      <c r="F22" s="97"/>
      <c r="G22" s="1"/>
    </row>
    <row r="23" spans="1:7" ht="26.25" x14ac:dyDescent="0.25">
      <c r="A23" s="1"/>
      <c r="B23" s="41" t="s">
        <v>25</v>
      </c>
      <c r="C23" s="41" t="s">
        <v>16</v>
      </c>
      <c r="D23" s="42"/>
      <c r="E23" s="41" t="s">
        <v>47</v>
      </c>
      <c r="F23" s="42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39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39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5" t="s">
        <v>158</v>
      </c>
      <c r="C29" s="96"/>
      <c r="D29" s="96"/>
      <c r="E29" s="96"/>
      <c r="F29" s="97"/>
      <c r="G29" s="1"/>
    </row>
    <row r="30" spans="1:7" ht="26.25" x14ac:dyDescent="0.25">
      <c r="A30" s="1"/>
      <c r="B30" s="41" t="s">
        <v>25</v>
      </c>
      <c r="C30" s="41" t="s">
        <v>16</v>
      </c>
      <c r="D30" s="42"/>
      <c r="E30" s="41" t="s">
        <v>47</v>
      </c>
      <c r="F30" s="42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39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39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WPKqOv6K3NrhJOtIPWYKZxoO4/g5EY8N/AZxfLCEeppdiWXdyyHMlu3i8eJn6xbLMjC+3Jsw7/m2d4j5gbCqIQ==" saltValue="6Uk/lQ1g/MfQy3T5WCDzE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12</v>
      </c>
      <c r="C9" s="99"/>
      <c r="D9" s="99"/>
      <c r="E9" s="99"/>
      <c r="F9" s="100"/>
      <c r="G9" s="9">
        <v>-5130069</v>
      </c>
      <c r="H9" s="14" t="s">
        <v>3</v>
      </c>
      <c r="I9" s="1"/>
    </row>
    <row r="10" spans="1:9" x14ac:dyDescent="0.25">
      <c r="A10" s="1"/>
      <c r="B10" s="98" t="s">
        <v>135</v>
      </c>
      <c r="C10" s="99"/>
      <c r="D10" s="99"/>
      <c r="E10" s="99"/>
      <c r="F10" s="100"/>
      <c r="G10" s="9">
        <v>0</v>
      </c>
      <c r="H10" s="14" t="s">
        <v>3</v>
      </c>
      <c r="I10" s="1"/>
    </row>
    <row r="11" spans="1:9" x14ac:dyDescent="0.25">
      <c r="A11" s="1"/>
      <c r="B11" s="98" t="s">
        <v>80</v>
      </c>
      <c r="C11" s="99"/>
      <c r="D11" s="99"/>
      <c r="E11" s="99"/>
      <c r="F11" s="100"/>
      <c r="G11" s="9">
        <v>4605466.8650793647</v>
      </c>
      <c r="H11" s="14" t="s">
        <v>3</v>
      </c>
      <c r="I11" s="1"/>
    </row>
    <row r="12" spans="1:9" x14ac:dyDescent="0.25">
      <c r="A12" s="1"/>
      <c r="B12" s="112" t="s">
        <v>15</v>
      </c>
      <c r="C12" s="113"/>
      <c r="D12" s="113"/>
      <c r="E12" s="113"/>
      <c r="F12" s="114"/>
      <c r="G12" s="19">
        <f>(G9+G10)+G11</f>
        <v>-524602.13492063526</v>
      </c>
      <c r="H12" s="18" t="s">
        <v>3</v>
      </c>
      <c r="I12" s="1"/>
    </row>
    <row r="13" spans="1:9" x14ac:dyDescent="0.25">
      <c r="A13" s="1"/>
      <c r="B13" s="98" t="s">
        <v>13</v>
      </c>
      <c r="C13" s="99"/>
      <c r="D13" s="99"/>
      <c r="E13" s="99"/>
      <c r="F13" s="100"/>
      <c r="G13" s="9">
        <v>1</v>
      </c>
      <c r="H13" s="14" t="s">
        <v>27</v>
      </c>
      <c r="I13" s="1"/>
    </row>
    <row r="14" spans="1:9" x14ac:dyDescent="0.25">
      <c r="A14" s="1"/>
      <c r="B14" s="95" t="s">
        <v>136</v>
      </c>
      <c r="C14" s="96"/>
      <c r="D14" s="96"/>
      <c r="E14" s="96"/>
      <c r="F14" s="97"/>
      <c r="G14" s="12">
        <f>IF(G13 = 0,0,-G12/G13)</f>
        <v>524602.13492063526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5LmtZ5F96T+n7k+mf7H8nxEyvwLcv7hlHAeEYt7hIGQMj3IE6caeeS7qloU9wMX+cqQkyyGZY4w034jW1Hsdqw==" saltValue="4y4x9EcWbyRZ0kvL0xwha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54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9" t="s">
        <v>21</v>
      </c>
      <c r="C8" s="22"/>
      <c r="D8" s="1"/>
    </row>
    <row r="9" spans="1:4" x14ac:dyDescent="0.25">
      <c r="A9" s="1"/>
      <c r="B9" s="48" t="s">
        <v>211</v>
      </c>
      <c r="C9" s="28">
        <v>1.2699999999999999E-2</v>
      </c>
      <c r="D9" s="1"/>
    </row>
    <row r="10" spans="1:4" x14ac:dyDescent="0.25">
      <c r="A10" s="1"/>
      <c r="B10" s="48" t="s">
        <v>30</v>
      </c>
      <c r="C10" s="28">
        <v>1.7500000000000002E-2</v>
      </c>
      <c r="D10" s="1"/>
    </row>
    <row r="11" spans="1:4" x14ac:dyDescent="0.25">
      <c r="A11" s="1"/>
      <c r="B11" s="48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5"/>
      <c r="C13" s="9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39" t="s">
        <v>181</v>
      </c>
      <c r="C16" s="22"/>
      <c r="D16" s="1"/>
    </row>
    <row r="17" spans="1:4" x14ac:dyDescent="0.25">
      <c r="A17" s="1"/>
      <c r="B17" s="48" t="s">
        <v>213</v>
      </c>
      <c r="C17" s="25">
        <v>9.1000000000000004E-3</v>
      </c>
      <c r="D17" s="1"/>
    </row>
    <row r="18" spans="1:4" x14ac:dyDescent="0.25">
      <c r="A18" s="1"/>
      <c r="B18" s="48" t="s">
        <v>214</v>
      </c>
      <c r="C18" s="25">
        <v>1.77E-2</v>
      </c>
      <c r="D18" s="1"/>
    </row>
    <row r="19" spans="1:4" x14ac:dyDescent="0.25">
      <c r="A19" s="1"/>
      <c r="B19" s="48" t="s">
        <v>215</v>
      </c>
      <c r="C19" s="25">
        <v>8.6999999999999994E-3</v>
      </c>
      <c r="D19" s="1"/>
    </row>
    <row r="20" spans="1:4" x14ac:dyDescent="0.25">
      <c r="A20" s="1"/>
      <c r="B20" s="48" t="s">
        <v>216</v>
      </c>
      <c r="C20" s="37">
        <v>2.8400000000000002E-2</v>
      </c>
      <c r="D20" s="1"/>
    </row>
    <row r="21" spans="1:4" x14ac:dyDescent="0.25">
      <c r="A21" s="1"/>
      <c r="B21" s="39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39" t="s">
        <v>182</v>
      </c>
      <c r="C24" s="22"/>
      <c r="D24" s="1"/>
    </row>
    <row r="25" spans="1:4" x14ac:dyDescent="0.25">
      <c r="A25" s="1"/>
      <c r="B25" s="48" t="s">
        <v>217</v>
      </c>
      <c r="C25" s="28">
        <v>0.02</v>
      </c>
      <c r="D25" s="1"/>
    </row>
    <row r="26" spans="1:4" x14ac:dyDescent="0.25">
      <c r="A26" s="1"/>
      <c r="B26" s="39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fpRAvzD9xpEVJBpoaGb6+ZgjZujKjJHhiMketToQGYMhJgvhm21R1CsGQWKwg8G2Ir/C+OqDDrFMi3xCG11Syg==" saltValue="+8qC8TkKQOmXLFwh6n66HA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65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x14ac:dyDescent="0.25">
      <c r="A9" s="1"/>
      <c r="B9" s="44" t="s">
        <v>34</v>
      </c>
      <c r="C9" s="7">
        <f>'Fane 3. Omkostninger i ØR2019'!E22</f>
        <v>14995039.707328573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tillæg'!C13</f>
        <v>130055.59710000001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tillæg'!E13</f>
        <v>1154686.981866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278725.59985948307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-569.50416217829036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-167415.31193692001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-94449.260636337596</v>
      </c>
      <c r="D19" s="8" t="s">
        <v>3</v>
      </c>
      <c r="E19" s="1"/>
    </row>
    <row r="20" spans="1:5" ht="17.100000000000001" customHeight="1" x14ac:dyDescent="0.25">
      <c r="A20" s="1"/>
      <c r="B20" s="50" t="s">
        <v>28</v>
      </c>
      <c r="C20" s="10">
        <f>SUM(C9:C19)</f>
        <v>16296073.809418622</v>
      </c>
      <c r="D20" s="11" t="s">
        <v>3</v>
      </c>
      <c r="E20" s="1"/>
    </row>
    <row r="21" spans="1:5" ht="15" customHeight="1" x14ac:dyDescent="0.25">
      <c r="A21" s="1"/>
      <c r="B21" s="39" t="s">
        <v>17</v>
      </c>
      <c r="C21" s="40"/>
      <c r="D21" s="22"/>
      <c r="E21" s="1"/>
    </row>
    <row r="22" spans="1:5" ht="15" customHeight="1" x14ac:dyDescent="0.25">
      <c r="A22" s="1"/>
      <c r="B22" s="41" t="s">
        <v>17</v>
      </c>
      <c r="C22" s="10">
        <f>'Fane 6. Ikke-påvirkelige omk.'!C16</f>
        <v>10623051.170041861</v>
      </c>
      <c r="D22" s="11" t="s">
        <v>3</v>
      </c>
      <c r="E22" s="1"/>
    </row>
    <row r="23" spans="1:5" ht="15" customHeight="1" x14ac:dyDescent="0.25">
      <c r="A23" s="1"/>
      <c r="B23" s="39" t="s">
        <v>142</v>
      </c>
      <c r="C23" s="40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39" t="s">
        <v>11</v>
      </c>
      <c r="C27" s="40"/>
      <c r="D27" s="22"/>
      <c r="E27" s="1"/>
    </row>
    <row r="28" spans="1:5" ht="15" customHeight="1" x14ac:dyDescent="0.25">
      <c r="A28" s="1"/>
      <c r="B28" s="41" t="s">
        <v>19</v>
      </c>
      <c r="C28" s="10">
        <f>'Fane 13. Hist. over-underdæk.'!G14</f>
        <v>524602.13492063526</v>
      </c>
      <c r="D28" s="11" t="s">
        <v>3</v>
      </c>
      <c r="E28" s="1"/>
    </row>
    <row r="29" spans="1:5" ht="15" customHeight="1" x14ac:dyDescent="0.25">
      <c r="A29" s="1"/>
      <c r="B29" s="39" t="s">
        <v>53</v>
      </c>
      <c r="C29" s="40"/>
      <c r="D29" s="22"/>
      <c r="E29" s="1"/>
    </row>
    <row r="30" spans="1:5" x14ac:dyDescent="0.25">
      <c r="A30" s="1"/>
      <c r="B30" s="41" t="s">
        <v>218</v>
      </c>
      <c r="C30" s="10">
        <f>'Fane 7. Kontrol af ØR2018'!E32</f>
        <v>464062.10025000002</v>
      </c>
      <c r="D30" s="11" t="s">
        <v>3</v>
      </c>
      <c r="E30" s="1"/>
    </row>
    <row r="31" spans="1:5" x14ac:dyDescent="0.25">
      <c r="A31" s="1"/>
      <c r="B31" s="39" t="s">
        <v>225</v>
      </c>
      <c r="C31" s="40"/>
      <c r="D31" s="22"/>
      <c r="E31" s="1"/>
    </row>
    <row r="32" spans="1:5" x14ac:dyDescent="0.25">
      <c r="A32" s="1"/>
      <c r="B32" s="41" t="s">
        <v>226</v>
      </c>
      <c r="C32" s="10">
        <f>'Fane 8. Korrektioner'!E10</f>
        <v>0</v>
      </c>
      <c r="D32" s="11" t="s">
        <v>3</v>
      </c>
      <c r="E32" s="1"/>
    </row>
    <row r="33" spans="1:5" x14ac:dyDescent="0.25">
      <c r="A33" s="1"/>
      <c r="B33" s="39" t="s">
        <v>35</v>
      </c>
      <c r="C33" s="33">
        <f>SUM(C20,C22,C26,C28,C30,C32)</f>
        <v>27907789.214631118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ZjuOJk3Xp4TPrlrNjAXv00pcIRDUGP6KsYprcFz/vX4ZtTC+LWOCrLY4W8X+IiRCjljzBrpgIQ8IjmtGqObcAA==" saltValue="ex4SqoUn1linZVy3Dqst2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85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ht="15" customHeight="1" x14ac:dyDescent="0.25">
      <c r="A9" s="1"/>
      <c r="B9" s="44" t="s">
        <v>36</v>
      </c>
      <c r="C9" s="7">
        <f>'Fane 2.1. Økonomisk ramme 2020'!C20</f>
        <v>16296073.809418622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8" t="s">
        <v>26</v>
      </c>
      <c r="C12" s="9">
        <f>SUM(C9:C11)*'Fane 14. Nøgletal'!C12</f>
        <v>321032.65404554683</v>
      </c>
      <c r="D12" s="8" t="s">
        <v>3</v>
      </c>
      <c r="E12" s="1"/>
    </row>
    <row r="13" spans="1:5" ht="15" customHeight="1" x14ac:dyDescent="0.25">
      <c r="A13" s="1"/>
      <c r="B13" s="38" t="s">
        <v>10</v>
      </c>
      <c r="C13" s="9">
        <f>-SUM(C9:C12)*'Fane 5. Individuelt eff. krav'!G10</f>
        <v>-571.51956923702289</v>
      </c>
      <c r="D13" s="8" t="s">
        <v>3</v>
      </c>
      <c r="E13" s="1"/>
    </row>
    <row r="14" spans="1:5" ht="15" customHeight="1" x14ac:dyDescent="0.25">
      <c r="A14" s="1"/>
      <c r="B14" s="38" t="s">
        <v>38</v>
      </c>
      <c r="C14" s="9">
        <f>-'Fane 4.1. Gen. krav - drift'!G32</f>
        <v>-167299.12571043582</v>
      </c>
      <c r="D14" s="8" t="s">
        <v>3</v>
      </c>
      <c r="E14" s="1"/>
    </row>
    <row r="15" spans="1:5" ht="15" customHeight="1" x14ac:dyDescent="0.25">
      <c r="A15" s="1"/>
      <c r="B15" s="38" t="s">
        <v>39</v>
      </c>
      <c r="C15" s="9">
        <f>-'Fane 4.2. Gen. krav - anlæg'!G31</f>
        <v>-234445.61805402979</v>
      </c>
      <c r="D15" s="8" t="s">
        <v>3</v>
      </c>
      <c r="E15" s="1"/>
    </row>
    <row r="16" spans="1:5" ht="15" customHeight="1" x14ac:dyDescent="0.25">
      <c r="A16" s="1"/>
      <c r="B16" s="45" t="s">
        <v>28</v>
      </c>
      <c r="C16" s="10">
        <f>SUM(C9:C15)</f>
        <v>16214790.200130466</v>
      </c>
      <c r="D16" s="11" t="s">
        <v>3</v>
      </c>
      <c r="E16" s="1"/>
    </row>
    <row r="17" spans="1:5" x14ac:dyDescent="0.25">
      <c r="A17" s="1"/>
      <c r="B17" s="39" t="s">
        <v>17</v>
      </c>
      <c r="C17" s="40"/>
      <c r="D17" s="22"/>
      <c r="E17" s="1"/>
    </row>
    <row r="18" spans="1:5" ht="15" customHeight="1" x14ac:dyDescent="0.25">
      <c r="A18" s="1"/>
      <c r="B18" s="41" t="s">
        <v>17</v>
      </c>
      <c r="C18" s="10">
        <f>'Fane 6. Ikke-påvirkelige omk.'!C16*(1+'Fane 14. Nøgletal'!C12)</f>
        <v>10832325.278091686</v>
      </c>
      <c r="D18" s="11" t="s">
        <v>3</v>
      </c>
      <c r="E18" s="1"/>
    </row>
    <row r="19" spans="1:5" ht="15" customHeight="1" x14ac:dyDescent="0.25">
      <c r="A19" s="1"/>
      <c r="B19" s="39" t="s">
        <v>142</v>
      </c>
      <c r="C19" s="40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9" t="s">
        <v>160</v>
      </c>
      <c r="C23" s="40"/>
      <c r="D23" s="22"/>
      <c r="E23" s="1"/>
    </row>
    <row r="24" spans="1:5" ht="15" customHeight="1" x14ac:dyDescent="0.25">
      <c r="A24" s="1"/>
      <c r="B24" s="41" t="s">
        <v>195</v>
      </c>
      <c r="C24" s="10">
        <f>'Fane 7. Kontrol af ØR2018'!E39</f>
        <v>0</v>
      </c>
      <c r="D24" s="11" t="s">
        <v>3</v>
      </c>
      <c r="E24" s="1"/>
    </row>
    <row r="25" spans="1:5" x14ac:dyDescent="0.25">
      <c r="A25" s="1"/>
      <c r="B25" s="39" t="s">
        <v>44</v>
      </c>
      <c r="C25" s="12">
        <f>SUM(C16,C18,C22,C24)</f>
        <v>27047115.478222154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hj4LyzG29xBsnZ6X+QULQSq77wv+fyUOwUVdCTHfoDnLBj395rC7y4wd2+bIqxsl41CByK5UpHRTIO/S90sXng==" saltValue="udyIDcDJdCOIdNhfiShh5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193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36</v>
      </c>
      <c r="C8" s="7">
        <f>'Fane 2.2. Økonomisk ramme 2021'!C16</f>
        <v>16214790.200130466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SUM(C8:C10)*'Fane 14. Nøgletal'!C12</f>
        <v>319431.3669425702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-568.66887195191691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drift'!G38</f>
        <v>-167183.02011719279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anlæg'!G37</f>
        <v>-232274.77354257088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16134195.10454132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omk.'!C16*(1+'Fane 14. Nøgletal'!C12)^2</f>
        <v>11045722.086070092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9" t="s">
        <v>160</v>
      </c>
      <c r="C22" s="40"/>
      <c r="D22" s="22"/>
      <c r="E22" s="1"/>
    </row>
    <row r="23" spans="1:5" ht="15" customHeight="1" x14ac:dyDescent="0.25">
      <c r="A23" s="1"/>
      <c r="B23" s="41" t="s">
        <v>195</v>
      </c>
      <c r="C23" s="10">
        <f>'Fane 2.2. Økonomisk ramme 2021'!C24</f>
        <v>0</v>
      </c>
      <c r="D23" s="11" t="s">
        <v>3</v>
      </c>
      <c r="E23" s="1"/>
    </row>
    <row r="24" spans="1:5" x14ac:dyDescent="0.25">
      <c r="A24" s="1"/>
      <c r="B24" s="39" t="s">
        <v>45</v>
      </c>
      <c r="C24" s="12">
        <f>SUM(C15,C17,C21,C23)</f>
        <v>27179917.190611415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Q3qScP8BFTIXxrazdQaB1r0nhjF00ipqZn5KcnbU+dYTolhlJxRKUNp+aMXHjDjo9AoOuHI0NyuzdginxYQXjQ==" saltValue="M7b2noFnYeqcCLy4rnqq1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194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37</v>
      </c>
      <c r="C8" s="7">
        <f>'Fane 2.3. Økonomisk ramme 2022'!C15</f>
        <v>16134195.10454132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C8*'Fane 14. Nøgletal'!C12</f>
        <v>317843.64355946396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-565.84232152925597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drift'!G44</f>
        <v>-167066.99510123147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anlæg'!G43</f>
        <v>-230124.02992244894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16054281.880755574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omk.'!C16*(1+'Fane 14. Nøgletal'!C12)^3</f>
        <v>11263322.811165674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39" t="s">
        <v>154</v>
      </c>
      <c r="C22" s="12">
        <f>SUM(C15,C17,C21)</f>
        <v>27317604.691921249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sJlxCR5WwsEY2GrIr+qLRWskjfFMub5Gpm55espHJOAUWGGol6m7eRkc4TcRWHhAh745M+zLSCceqFG+QvnPKw==" saltValue="ziMudv/WLzP5hSZ7P+29x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221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84</v>
      </c>
      <c r="C8" s="40"/>
      <c r="D8" s="40"/>
      <c r="E8" s="40"/>
      <c r="F8" s="22"/>
      <c r="G8" s="1"/>
    </row>
    <row r="9" spans="1:7" x14ac:dyDescent="0.25">
      <c r="A9" s="1"/>
      <c r="B9" s="90" t="s">
        <v>81</v>
      </c>
      <c r="C9" s="91"/>
      <c r="D9" s="92"/>
      <c r="E9" s="7">
        <v>15141508.884371018</v>
      </c>
      <c r="F9" s="8" t="s">
        <v>3</v>
      </c>
      <c r="G9" s="1"/>
    </row>
    <row r="10" spans="1:7" x14ac:dyDescent="0.25">
      <c r="A10" s="1"/>
      <c r="B10" s="90" t="s">
        <v>82</v>
      </c>
      <c r="C10" s="91"/>
      <c r="D10" s="92"/>
      <c r="E10" s="7">
        <v>-9.1282879121322172E-2</v>
      </c>
      <c r="F10" s="8" t="s">
        <v>3</v>
      </c>
      <c r="G10" s="1"/>
    </row>
    <row r="11" spans="1:7" x14ac:dyDescent="0.25">
      <c r="A11" s="1"/>
      <c r="B11" s="90" t="s">
        <v>83</v>
      </c>
      <c r="C11" s="91"/>
      <c r="D11" s="92"/>
      <c r="E11" s="7">
        <v>-173058.27686114272</v>
      </c>
      <c r="F11" s="8" t="s">
        <v>3</v>
      </c>
      <c r="G11" s="1"/>
    </row>
    <row r="12" spans="1:7" x14ac:dyDescent="0.25">
      <c r="A12" s="1"/>
      <c r="B12" s="77" t="s">
        <v>67</v>
      </c>
      <c r="C12" s="78"/>
      <c r="D12" s="79"/>
      <c r="E12" s="7">
        <v>0</v>
      </c>
      <c r="F12" s="8" t="s">
        <v>3</v>
      </c>
      <c r="G12" s="1"/>
    </row>
    <row r="13" spans="1:7" x14ac:dyDescent="0.25">
      <c r="A13" s="1"/>
      <c r="B13" s="77" t="s">
        <v>68</v>
      </c>
      <c r="C13" s="78"/>
      <c r="D13" s="79"/>
      <c r="E13" s="9">
        <v>0</v>
      </c>
      <c r="F13" s="8" t="s">
        <v>3</v>
      </c>
      <c r="G13" s="1"/>
    </row>
    <row r="14" spans="1:7" x14ac:dyDescent="0.25">
      <c r="A14" s="1"/>
      <c r="B14" s="77" t="s">
        <v>41</v>
      </c>
      <c r="C14" s="78"/>
      <c r="D14" s="79"/>
      <c r="E14" s="9">
        <v>0</v>
      </c>
      <c r="F14" s="8" t="s">
        <v>3</v>
      </c>
      <c r="G14" s="1"/>
    </row>
    <row r="15" spans="1:7" x14ac:dyDescent="0.25">
      <c r="A15" s="1"/>
      <c r="B15" s="77" t="s">
        <v>40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77" t="s">
        <v>43</v>
      </c>
      <c r="C16" s="78"/>
      <c r="D16" s="79"/>
      <c r="E16" s="9">
        <v>0</v>
      </c>
      <c r="F16" s="8" t="s">
        <v>3</v>
      </c>
      <c r="G16" s="1"/>
    </row>
    <row r="17" spans="1:7" x14ac:dyDescent="0.25">
      <c r="A17" s="1"/>
      <c r="B17" s="77" t="s">
        <v>42</v>
      </c>
      <c r="C17" s="78"/>
      <c r="D17" s="79"/>
      <c r="E17" s="9">
        <v>0</v>
      </c>
      <c r="F17" s="8" t="s">
        <v>3</v>
      </c>
      <c r="G17" s="1"/>
    </row>
    <row r="18" spans="1:7" x14ac:dyDescent="0.25">
      <c r="A18" s="1"/>
      <c r="B18" s="77" t="s">
        <v>26</v>
      </c>
      <c r="C18" s="78"/>
      <c r="D18" s="79"/>
      <c r="E18" s="9">
        <f>SUM(E9:E17)*'Fane 14. Nøgletal'!C11</f>
        <v>252966.81372423621</v>
      </c>
      <c r="F18" s="8" t="s">
        <v>3</v>
      </c>
      <c r="G18" s="1"/>
    </row>
    <row r="19" spans="1:7" x14ac:dyDescent="0.25">
      <c r="A19" s="1"/>
      <c r="B19" s="77" t="s">
        <v>10</v>
      </c>
      <c r="C19" s="78"/>
      <c r="D19" s="79"/>
      <c r="E19" s="9">
        <f>-SUM(E9:E18)*'Fane 5. Individuelt eff. krav'!G10</f>
        <v>-523.51700909648821</v>
      </c>
      <c r="F19" s="8" t="s">
        <v>3</v>
      </c>
      <c r="G19" s="1"/>
    </row>
    <row r="20" spans="1:7" x14ac:dyDescent="0.25">
      <c r="A20" s="1"/>
      <c r="B20" s="77" t="s">
        <v>38</v>
      </c>
      <c r="C20" s="78"/>
      <c r="D20" s="79"/>
      <c r="E20" s="9">
        <f>-'Fane 4.1. Gen. krav - drift'!G20</f>
        <v>-165331.36733054504</v>
      </c>
      <c r="F20" s="8" t="s">
        <v>3</v>
      </c>
      <c r="G20" s="1"/>
    </row>
    <row r="21" spans="1:7" x14ac:dyDescent="0.25">
      <c r="A21" s="1"/>
      <c r="B21" s="77" t="s">
        <v>39</v>
      </c>
      <c r="C21" s="78"/>
      <c r="D21" s="79"/>
      <c r="E21" s="9">
        <f>-'Fane 4.2. Gen. krav - anlæg'!G19</f>
        <v>-60522.73828301781</v>
      </c>
      <c r="F21" s="8" t="s">
        <v>3</v>
      </c>
      <c r="G21" s="1"/>
    </row>
    <row r="22" spans="1:7" x14ac:dyDescent="0.25">
      <c r="A22" s="1"/>
      <c r="B22" s="80" t="s">
        <v>28</v>
      </c>
      <c r="C22" s="81"/>
      <c r="D22" s="82"/>
      <c r="E22" s="10">
        <f>SUM(E9:E21)</f>
        <v>14995039.707328573</v>
      </c>
      <c r="F22" s="11" t="s">
        <v>3</v>
      </c>
      <c r="G22" s="1"/>
    </row>
    <row r="23" spans="1:7" x14ac:dyDescent="0.25">
      <c r="A23" s="1"/>
      <c r="B23" s="93" t="s">
        <v>17</v>
      </c>
      <c r="C23" s="94"/>
      <c r="D23" s="94"/>
      <c r="E23" s="40"/>
      <c r="F23" s="22"/>
      <c r="G23" s="1"/>
    </row>
    <row r="24" spans="1:7" x14ac:dyDescent="0.25">
      <c r="A24" s="1"/>
      <c r="B24" s="83" t="s">
        <v>17</v>
      </c>
      <c r="C24" s="84"/>
      <c r="D24" s="85"/>
      <c r="E24" s="10">
        <v>10924925.231983367</v>
      </c>
      <c r="F24" s="11" t="s">
        <v>3</v>
      </c>
      <c r="G24" s="1"/>
    </row>
    <row r="25" spans="1:7" x14ac:dyDescent="0.25">
      <c r="A25" s="1"/>
      <c r="B25" s="39" t="s">
        <v>130</v>
      </c>
      <c r="C25" s="40"/>
      <c r="D25" s="40"/>
      <c r="E25" s="40"/>
      <c r="F25" s="22"/>
      <c r="G25" s="1"/>
    </row>
    <row r="26" spans="1:7" ht="27" customHeight="1" x14ac:dyDescent="0.25">
      <c r="A26" s="1"/>
      <c r="B26" s="86" t="s">
        <v>132</v>
      </c>
      <c r="C26" s="87"/>
      <c r="D26" s="88"/>
      <c r="E26" s="10">
        <v>57523.682584637158</v>
      </c>
      <c r="F26" s="11" t="s">
        <v>3</v>
      </c>
      <c r="G26" s="1"/>
    </row>
    <row r="27" spans="1:7" x14ac:dyDescent="0.25">
      <c r="A27" s="1"/>
      <c r="B27" s="39" t="s">
        <v>11</v>
      </c>
      <c r="C27" s="40"/>
      <c r="D27" s="40"/>
      <c r="E27" s="40"/>
      <c r="F27" s="22"/>
      <c r="G27" s="1"/>
    </row>
    <row r="28" spans="1:7" x14ac:dyDescent="0.25">
      <c r="A28" s="1"/>
      <c r="B28" s="83" t="s">
        <v>19</v>
      </c>
      <c r="C28" s="84"/>
      <c r="D28" s="85"/>
      <c r="E28" s="10">
        <v>524603</v>
      </c>
      <c r="F28" s="11" t="s">
        <v>3</v>
      </c>
      <c r="G28" s="1"/>
    </row>
    <row r="29" spans="1:7" x14ac:dyDescent="0.25">
      <c r="A29" s="1"/>
      <c r="B29" s="39" t="s">
        <v>160</v>
      </c>
      <c r="C29" s="40"/>
      <c r="D29" s="40"/>
      <c r="E29" s="40"/>
      <c r="F29" s="22"/>
      <c r="G29" s="1"/>
    </row>
    <row r="30" spans="1:7" x14ac:dyDescent="0.25">
      <c r="A30" s="1"/>
      <c r="B30" s="83" t="s">
        <v>131</v>
      </c>
      <c r="C30" s="84"/>
      <c r="D30" s="85"/>
      <c r="E30" s="10">
        <v>488277.8389651631</v>
      </c>
      <c r="F30" s="11" t="s">
        <v>3</v>
      </c>
      <c r="G30" s="1"/>
    </row>
    <row r="31" spans="1:7" x14ac:dyDescent="0.25">
      <c r="A31" s="1"/>
      <c r="B31" s="39" t="s">
        <v>23</v>
      </c>
      <c r="C31" s="40"/>
      <c r="D31" s="40"/>
      <c r="E31" s="12">
        <f>SUM(E28,E26,E24,E22,E30)</f>
        <v>26990369.460861742</v>
      </c>
      <c r="F31" s="13" t="s">
        <v>3</v>
      </c>
      <c r="G31" s="1"/>
    </row>
    <row r="32" spans="1:7" ht="28.15" customHeight="1" x14ac:dyDescent="0.25">
      <c r="A32" s="1"/>
      <c r="B32" s="74" t="s">
        <v>189</v>
      </c>
      <c r="C32" s="75"/>
      <c r="D32" s="75"/>
      <c r="E32" s="75"/>
      <c r="F32" s="76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4jcNZi6TUmyf5wVEMb6lKMDVYCJyNGYLN8RUG5rJkh4jZBW9fSzFf6CcFGfm+4hWrPO90MF9Zb4Iur4jrtg4YQ==" saltValue="G37ismzMHriqsju2BbNoPQ==" spinCount="100000" sheet="1" objects="1" scenarios="1"/>
  <mergeCells count="21">
    <mergeCell ref="B15:D15"/>
    <mergeCell ref="B16:D16"/>
    <mergeCell ref="B17:D17"/>
    <mergeCell ref="B23:D23"/>
    <mergeCell ref="B24:D24"/>
    <mergeCell ref="B3:F4"/>
    <mergeCell ref="B9:D9"/>
    <mergeCell ref="B12:D12"/>
    <mergeCell ref="B13:D13"/>
    <mergeCell ref="B14:D14"/>
    <mergeCell ref="B10:D10"/>
    <mergeCell ref="B11:D11"/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2" t="s">
        <v>202</v>
      </c>
      <c r="C2" s="72"/>
      <c r="D2" s="72"/>
      <c r="E2" s="72"/>
      <c r="F2" s="72"/>
      <c r="G2" s="72"/>
      <c r="H2" s="72"/>
      <c r="I2" s="1"/>
    </row>
    <row r="3" spans="1:9" ht="15" customHeight="1" x14ac:dyDescent="0.25">
      <c r="A3" s="1"/>
      <c r="B3" s="72"/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95" t="s">
        <v>97</v>
      </c>
      <c r="C5" s="96"/>
      <c r="D5" s="96"/>
      <c r="E5" s="96"/>
      <c r="F5" s="96"/>
      <c r="G5" s="96"/>
      <c r="H5" s="97"/>
      <c r="I5" s="1"/>
    </row>
    <row r="6" spans="1:9" x14ac:dyDescent="0.25">
      <c r="A6" s="1"/>
      <c r="B6" s="98" t="s">
        <v>86</v>
      </c>
      <c r="C6" s="99"/>
      <c r="D6" s="99"/>
      <c r="E6" s="99"/>
      <c r="F6" s="100"/>
      <c r="G6" s="26">
        <v>8358225</v>
      </c>
      <c r="H6" s="14" t="s">
        <v>3</v>
      </c>
      <c r="I6" s="1"/>
    </row>
    <row r="7" spans="1:9" x14ac:dyDescent="0.25">
      <c r="A7" s="1"/>
      <c r="B7" s="98" t="s">
        <v>87</v>
      </c>
      <c r="C7" s="99"/>
      <c r="D7" s="99"/>
      <c r="E7" s="99"/>
      <c r="F7" s="100"/>
      <c r="G7" s="26">
        <f>G6*'Fane 14. Nøgletal'!C25</f>
        <v>167164.5</v>
      </c>
      <c r="H7" s="14" t="s">
        <v>3</v>
      </c>
      <c r="I7" s="1"/>
    </row>
    <row r="8" spans="1:9" x14ac:dyDescent="0.25">
      <c r="A8" s="1"/>
      <c r="B8" s="39"/>
      <c r="C8" s="40"/>
      <c r="D8" s="40"/>
      <c r="E8" s="40"/>
      <c r="F8" s="40"/>
      <c r="G8" s="40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5" t="s">
        <v>98</v>
      </c>
      <c r="C10" s="96"/>
      <c r="D10" s="96"/>
      <c r="E10" s="96"/>
      <c r="F10" s="96"/>
      <c r="G10" s="96"/>
      <c r="H10" s="97"/>
      <c r="I10" s="1"/>
    </row>
    <row r="11" spans="1:9" x14ac:dyDescent="0.25">
      <c r="A11" s="1"/>
      <c r="B11" s="98" t="s">
        <v>88</v>
      </c>
      <c r="C11" s="99"/>
      <c r="D11" s="99"/>
      <c r="E11" s="99"/>
      <c r="F11" s="100"/>
      <c r="G11" s="26">
        <f>(G6-G7)*(1+'Fane 14. Nøgletal'!C9)</f>
        <v>8295086.9683499997</v>
      </c>
      <c r="H11" s="14" t="s">
        <v>3</v>
      </c>
      <c r="I11" s="1"/>
    </row>
    <row r="12" spans="1:9" x14ac:dyDescent="0.25">
      <c r="A12" s="1"/>
      <c r="B12" s="101" t="s">
        <v>89</v>
      </c>
      <c r="C12" s="102"/>
      <c r="D12" s="102"/>
      <c r="E12" s="102"/>
      <c r="F12" s="103"/>
      <c r="G12" s="26">
        <v>0</v>
      </c>
      <c r="H12" s="14" t="s">
        <v>3</v>
      </c>
      <c r="I12" s="1"/>
    </row>
    <row r="13" spans="1:9" x14ac:dyDescent="0.25">
      <c r="A13" s="1"/>
      <c r="B13" s="98" t="s">
        <v>90</v>
      </c>
      <c r="C13" s="99"/>
      <c r="D13" s="99"/>
      <c r="E13" s="99"/>
      <c r="F13" s="100"/>
      <c r="G13" s="26">
        <f>(G11+G12)*'Fane 14. Nøgletal'!C25</f>
        <v>165901.739367</v>
      </c>
      <c r="H13" s="14" t="s">
        <v>3</v>
      </c>
      <c r="I13" s="1"/>
    </row>
    <row r="14" spans="1:9" x14ac:dyDescent="0.25">
      <c r="A14" s="1"/>
      <c r="B14" s="39"/>
      <c r="C14" s="40"/>
      <c r="D14" s="40"/>
      <c r="E14" s="40"/>
      <c r="F14" s="40"/>
      <c r="G14" s="40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99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8" t="s">
        <v>91</v>
      </c>
      <c r="C17" s="99"/>
      <c r="D17" s="99"/>
      <c r="E17" s="99"/>
      <c r="F17" s="100"/>
      <c r="G17" s="26">
        <f>(G13/'Fane 14. Nøgletal'!C25-G13)*(1+'Fane 14. Nøgletal'!C11)</f>
        <v>8266568.4593528118</v>
      </c>
      <c r="H17" s="14" t="s">
        <v>3</v>
      </c>
      <c r="I17" s="1"/>
    </row>
    <row r="18" spans="1:9" x14ac:dyDescent="0.25">
      <c r="A18" s="1"/>
      <c r="B18" s="98" t="s">
        <v>222</v>
      </c>
      <c r="C18" s="99"/>
      <c r="D18" s="99"/>
      <c r="E18" s="99"/>
      <c r="F18" s="100"/>
      <c r="G18" s="26">
        <v>-9.2825559778472511E-2</v>
      </c>
      <c r="H18" s="14" t="s">
        <v>3</v>
      </c>
      <c r="I18" s="1"/>
    </row>
    <row r="19" spans="1:9" x14ac:dyDescent="0.25">
      <c r="A19" s="1"/>
      <c r="B19" s="101" t="s">
        <v>92</v>
      </c>
      <c r="C19" s="102"/>
      <c r="D19" s="102"/>
      <c r="E19" s="102"/>
      <c r="F19" s="103"/>
      <c r="G19" s="26">
        <v>0</v>
      </c>
      <c r="H19" s="14" t="s">
        <v>3</v>
      </c>
      <c r="I19" s="1"/>
    </row>
    <row r="20" spans="1:9" x14ac:dyDescent="0.25">
      <c r="A20" s="1"/>
      <c r="B20" s="98" t="s">
        <v>93</v>
      </c>
      <c r="C20" s="99"/>
      <c r="D20" s="99"/>
      <c r="E20" s="99"/>
      <c r="F20" s="100"/>
      <c r="G20" s="26">
        <f>SUM(G17:G19)*'Fane 14. Nøgletal'!C25</f>
        <v>165331.36733054504</v>
      </c>
      <c r="H20" s="14" t="s">
        <v>3</v>
      </c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5" t="s">
        <v>100</v>
      </c>
      <c r="C23" s="96"/>
      <c r="D23" s="96"/>
      <c r="E23" s="96"/>
      <c r="F23" s="96"/>
      <c r="G23" s="96"/>
      <c r="H23" s="97"/>
      <c r="I23" s="1"/>
    </row>
    <row r="24" spans="1:9" x14ac:dyDescent="0.25">
      <c r="A24" s="1"/>
      <c r="B24" s="98" t="s">
        <v>94</v>
      </c>
      <c r="C24" s="99"/>
      <c r="D24" s="99"/>
      <c r="E24" s="99"/>
      <c r="F24" s="100"/>
      <c r="G24" s="26">
        <f>(SUM(G17:G19)-G20)*(1+'Fane 14. Nøgletal'!C11)</f>
        <v>8238147.9044831311</v>
      </c>
      <c r="H24" s="14" t="s">
        <v>3</v>
      </c>
      <c r="I24" s="1"/>
    </row>
    <row r="25" spans="1:9" x14ac:dyDescent="0.25">
      <c r="A25" s="1"/>
      <c r="B25" s="101" t="s">
        <v>95</v>
      </c>
      <c r="C25" s="102"/>
      <c r="D25" s="102"/>
      <c r="E25" s="102"/>
      <c r="F25" s="103"/>
      <c r="G25" s="26">
        <f>('Fane 2.1. Økonomisk ramme 2020'!C10+'Fane 2.1. Økonomisk ramme 2020'!C12+'Fane 2.1. Økonomisk ramme 2020'!C14)*(1+'Fane 14. Nøgletal'!C12)</f>
        <v>132617.69236287003</v>
      </c>
      <c r="H25" s="14" t="s">
        <v>3</v>
      </c>
      <c r="I25" s="1"/>
    </row>
    <row r="26" spans="1:9" x14ac:dyDescent="0.25">
      <c r="A26" s="1"/>
      <c r="B26" s="98" t="s">
        <v>96</v>
      </c>
      <c r="C26" s="99"/>
      <c r="D26" s="99"/>
      <c r="E26" s="99"/>
      <c r="F26" s="100"/>
      <c r="G26" s="26">
        <f>(G24+G25)*'Fane 14. Nøgletal'!C25</f>
        <v>167415.31193692001</v>
      </c>
      <c r="H26" s="14" t="s">
        <v>3</v>
      </c>
      <c r="I26" s="1"/>
    </row>
    <row r="27" spans="1:9" x14ac:dyDescent="0.25">
      <c r="A27" s="1"/>
      <c r="B27" s="39"/>
      <c r="C27" s="40"/>
      <c r="D27" s="40"/>
      <c r="E27" s="40"/>
      <c r="F27" s="40"/>
      <c r="G27" s="40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5" t="s">
        <v>191</v>
      </c>
      <c r="C29" s="96"/>
      <c r="D29" s="96"/>
      <c r="E29" s="96"/>
      <c r="F29" s="96"/>
      <c r="G29" s="96"/>
      <c r="H29" s="97"/>
      <c r="I29" s="1"/>
    </row>
    <row r="30" spans="1:9" x14ac:dyDescent="0.25">
      <c r="A30" s="1"/>
      <c r="B30" s="98" t="s">
        <v>103</v>
      </c>
      <c r="C30" s="99"/>
      <c r="D30" s="99"/>
      <c r="E30" s="99"/>
      <c r="F30" s="100"/>
      <c r="G30" s="26">
        <f>(G24+G25-G26)*(1+'Fane 14. Nøgletal'!C12)</f>
        <v>8364956.2855217913</v>
      </c>
      <c r="H30" s="14" t="s">
        <v>3</v>
      </c>
      <c r="I30" s="1"/>
    </row>
    <row r="31" spans="1:9" x14ac:dyDescent="0.25">
      <c r="A31" s="1"/>
      <c r="B31" s="98" t="s">
        <v>145</v>
      </c>
      <c r="C31" s="99"/>
      <c r="D31" s="99"/>
      <c r="E31" s="99"/>
      <c r="F31" s="100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98" t="s">
        <v>220</v>
      </c>
      <c r="C32" s="99"/>
      <c r="D32" s="99"/>
      <c r="E32" s="99"/>
      <c r="F32" s="100"/>
      <c r="G32" s="26">
        <f>(G30+G31)*'Fane 14. Nøgletal'!C25</f>
        <v>167299.12571043582</v>
      </c>
      <c r="H32" s="14" t="s">
        <v>3</v>
      </c>
      <c r="I32" s="1"/>
    </row>
    <row r="33" spans="1:9" x14ac:dyDescent="0.25">
      <c r="A33" s="1"/>
      <c r="B33" s="39"/>
      <c r="C33" s="40"/>
      <c r="D33" s="40"/>
      <c r="E33" s="40"/>
      <c r="F33" s="40"/>
      <c r="G33" s="40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5" t="s">
        <v>126</v>
      </c>
      <c r="C35" s="96"/>
      <c r="D35" s="96"/>
      <c r="E35" s="96"/>
      <c r="F35" s="96"/>
      <c r="G35" s="96"/>
      <c r="H35" s="97"/>
      <c r="I35" s="1"/>
    </row>
    <row r="36" spans="1:9" x14ac:dyDescent="0.25">
      <c r="A36" s="1"/>
      <c r="B36" s="98" t="s">
        <v>125</v>
      </c>
      <c r="C36" s="99"/>
      <c r="D36" s="99"/>
      <c r="E36" s="99"/>
      <c r="F36" s="100"/>
      <c r="G36" s="26">
        <f>(G30-G32)*(1+'Fane 14. Nøgletal'!C12)</f>
        <v>8359151.0058596395</v>
      </c>
      <c r="H36" s="14" t="s">
        <v>3</v>
      </c>
      <c r="I36" s="1"/>
    </row>
    <row r="37" spans="1:9" x14ac:dyDescent="0.25">
      <c r="A37" s="1"/>
      <c r="B37" s="98" t="s">
        <v>146</v>
      </c>
      <c r="C37" s="99"/>
      <c r="D37" s="99"/>
      <c r="E37" s="99"/>
      <c r="F37" s="100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98" t="s">
        <v>104</v>
      </c>
      <c r="C38" s="99"/>
      <c r="D38" s="99"/>
      <c r="E38" s="99"/>
      <c r="F38" s="100"/>
      <c r="G38" s="26">
        <f>(G36+G37)*'Fane 14. Nøgletal'!C25</f>
        <v>167183.02011719279</v>
      </c>
      <c r="H38" s="14" t="s">
        <v>3</v>
      </c>
      <c r="I38" s="1"/>
    </row>
    <row r="39" spans="1:9" x14ac:dyDescent="0.25">
      <c r="A39" s="1"/>
      <c r="B39" s="39"/>
      <c r="C39" s="40"/>
      <c r="D39" s="40"/>
      <c r="E39" s="40"/>
      <c r="F39" s="40"/>
      <c r="G39" s="40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5" t="s">
        <v>127</v>
      </c>
      <c r="C41" s="96"/>
      <c r="D41" s="96"/>
      <c r="E41" s="96"/>
      <c r="F41" s="96"/>
      <c r="G41" s="96"/>
      <c r="H41" s="97"/>
      <c r="I41" s="1"/>
    </row>
    <row r="42" spans="1:9" x14ac:dyDescent="0.25">
      <c r="A42" s="1"/>
      <c r="B42" s="98" t="s">
        <v>124</v>
      </c>
      <c r="C42" s="99"/>
      <c r="D42" s="99"/>
      <c r="E42" s="99"/>
      <c r="F42" s="100"/>
      <c r="G42" s="26">
        <f>(G36-G38)*(1+'Fane 14. Nøgletal'!C12)</f>
        <v>8353349.7550615733</v>
      </c>
      <c r="H42" s="14" t="s">
        <v>3</v>
      </c>
      <c r="I42" s="1"/>
    </row>
    <row r="43" spans="1:9" x14ac:dyDescent="0.25">
      <c r="A43" s="1"/>
      <c r="B43" s="98" t="s">
        <v>147</v>
      </c>
      <c r="C43" s="99"/>
      <c r="D43" s="99"/>
      <c r="E43" s="99"/>
      <c r="F43" s="100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98" t="s">
        <v>105</v>
      </c>
      <c r="C44" s="99"/>
      <c r="D44" s="99"/>
      <c r="E44" s="99"/>
      <c r="F44" s="100"/>
      <c r="G44" s="26">
        <f>(G42+G43)*'Fane 14. Nøgletal'!C25</f>
        <v>167066.99510123147</v>
      </c>
      <c r="H44" s="14" t="s">
        <v>3</v>
      </c>
      <c r="I44" s="1"/>
    </row>
    <row r="45" spans="1:9" x14ac:dyDescent="0.25">
      <c r="A45" s="1"/>
      <c r="B45" s="39"/>
      <c r="C45" s="40"/>
      <c r="D45" s="40"/>
      <c r="E45" s="40"/>
      <c r="F45" s="40"/>
      <c r="G45" s="40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+OwgcwDKH+pB1bYI+h01yOFfAPGue3U/DCKrvqLi3XHptnK77ZBO2JGRfKvw+8Eix6wLmlLrpfDaisQCpURF0g==" saltValue="lgfs4MQZj1d2/kwbC/G2Xw==" spinCount="100000" sheet="1" objects="1" scenarios="1"/>
  <mergeCells count="29"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  <mergeCell ref="B16:H16"/>
    <mergeCell ref="B23:H23"/>
    <mergeCell ref="B12:F12"/>
    <mergeCell ref="B13:F13"/>
    <mergeCell ref="B17:F17"/>
    <mergeCell ref="B19:F19"/>
    <mergeCell ref="B18:F18"/>
    <mergeCell ref="B41:H41"/>
    <mergeCell ref="B42:F42"/>
    <mergeCell ref="B44:F44"/>
    <mergeCell ref="B37:F37"/>
    <mergeCell ref="B43:F43"/>
    <mergeCell ref="B2:H4"/>
    <mergeCell ref="B5:H5"/>
    <mergeCell ref="B6:F6"/>
    <mergeCell ref="B7:F7"/>
    <mergeCell ref="B11:F11"/>
    <mergeCell ref="B10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4" t="s">
        <v>203</v>
      </c>
      <c r="C2" s="104"/>
      <c r="D2" s="104"/>
      <c r="E2" s="104"/>
      <c r="F2" s="104"/>
      <c r="G2" s="104"/>
      <c r="H2" s="104"/>
      <c r="I2" s="1"/>
    </row>
    <row r="3" spans="1:9" ht="18.75" x14ac:dyDescent="0.3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25">
      <c r="A4" s="1"/>
      <c r="B4" s="95" t="s">
        <v>101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98" t="s">
        <v>106</v>
      </c>
      <c r="C5" s="99"/>
      <c r="D5" s="99"/>
      <c r="E5" s="99"/>
      <c r="F5" s="100"/>
      <c r="G5" s="26">
        <v>7053917</v>
      </c>
      <c r="H5" s="14" t="s">
        <v>3</v>
      </c>
      <c r="I5" s="1"/>
    </row>
    <row r="6" spans="1:9" x14ac:dyDescent="0.25">
      <c r="A6" s="1"/>
      <c r="B6" s="98" t="s">
        <v>102</v>
      </c>
      <c r="C6" s="99"/>
      <c r="D6" s="99"/>
      <c r="E6" s="99"/>
      <c r="F6" s="100"/>
      <c r="G6" s="26">
        <f>G5*'Fane 14. Nøgletal'!C17</f>
        <v>64190.644700000004</v>
      </c>
      <c r="H6" s="14" t="s">
        <v>3</v>
      </c>
      <c r="I6" s="1"/>
    </row>
    <row r="7" spans="1:9" x14ac:dyDescent="0.25">
      <c r="A7" s="1"/>
      <c r="B7" s="39"/>
      <c r="C7" s="40"/>
      <c r="D7" s="40"/>
      <c r="E7" s="40"/>
      <c r="F7" s="40"/>
      <c r="G7" s="40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107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98" t="s">
        <v>108</v>
      </c>
      <c r="C10" s="99"/>
      <c r="D10" s="99"/>
      <c r="E10" s="99"/>
      <c r="F10" s="100"/>
      <c r="G10" s="26">
        <f>(G5-G6)*(1+'Fane 14. Nøgletal'!C9)</f>
        <v>7078495.8800123092</v>
      </c>
      <c r="H10" s="14" t="s">
        <v>3</v>
      </c>
      <c r="I10" s="1"/>
    </row>
    <row r="11" spans="1:9" x14ac:dyDescent="0.25">
      <c r="A11" s="1"/>
      <c r="B11" s="101" t="s">
        <v>109</v>
      </c>
      <c r="C11" s="102"/>
      <c r="D11" s="102"/>
      <c r="E11" s="102"/>
      <c r="F11" s="103"/>
      <c r="G11" s="26">
        <v>0</v>
      </c>
      <c r="H11" s="14" t="s">
        <v>3</v>
      </c>
      <c r="I11" s="1"/>
    </row>
    <row r="12" spans="1:9" x14ac:dyDescent="0.25">
      <c r="A12" s="1"/>
      <c r="B12" s="98" t="s">
        <v>110</v>
      </c>
      <c r="C12" s="99"/>
      <c r="D12" s="99"/>
      <c r="E12" s="99"/>
      <c r="F12" s="100"/>
      <c r="G12" s="26">
        <f>G10*'Fane 14. Nøgletal'!C17+G11*'Fane 14. Nøgletal'!C18</f>
        <v>64414.312508112016</v>
      </c>
      <c r="H12" s="14" t="s">
        <v>3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5" t="s">
        <v>111</v>
      </c>
      <c r="C15" s="96"/>
      <c r="D15" s="96"/>
      <c r="E15" s="96"/>
      <c r="F15" s="96"/>
      <c r="G15" s="96"/>
      <c r="H15" s="97"/>
      <c r="I15" s="1"/>
    </row>
    <row r="16" spans="1:9" x14ac:dyDescent="0.25">
      <c r="A16" s="1"/>
      <c r="B16" s="98" t="s">
        <v>112</v>
      </c>
      <c r="C16" s="99"/>
      <c r="D16" s="99"/>
      <c r="E16" s="99"/>
      <c r="F16" s="100"/>
      <c r="G16" s="26">
        <f>(G10+G11-G12)*(1+'Fane 14. Nøgletal'!C11)</f>
        <v>7132619.5459950175</v>
      </c>
      <c r="H16" s="14" t="s">
        <v>3</v>
      </c>
      <c r="I16" s="1"/>
    </row>
    <row r="17" spans="1:9" x14ac:dyDescent="0.25">
      <c r="A17" s="1"/>
      <c r="B17" s="98" t="s">
        <v>223</v>
      </c>
      <c r="C17" s="99"/>
      <c r="D17" s="99"/>
      <c r="E17" s="99"/>
      <c r="F17" s="100"/>
      <c r="G17" s="26">
        <v>-175982.96174009601</v>
      </c>
      <c r="H17" s="14" t="s">
        <v>3</v>
      </c>
      <c r="I17" s="1"/>
    </row>
    <row r="18" spans="1:9" x14ac:dyDescent="0.25">
      <c r="A18" s="1"/>
      <c r="B18" s="101" t="s">
        <v>113</v>
      </c>
      <c r="C18" s="102"/>
      <c r="D18" s="102"/>
      <c r="E18" s="102"/>
      <c r="F18" s="103"/>
      <c r="G18" s="26">
        <v>0</v>
      </c>
      <c r="H18" s="14" t="s">
        <v>3</v>
      </c>
      <c r="I18" s="1"/>
    </row>
    <row r="19" spans="1:9" x14ac:dyDescent="0.25">
      <c r="A19" s="1"/>
      <c r="B19" s="98" t="s">
        <v>114</v>
      </c>
      <c r="C19" s="99"/>
      <c r="D19" s="99"/>
      <c r="E19" s="99"/>
      <c r="F19" s="100"/>
      <c r="G19" s="26">
        <f>SUM(G16:G18)*'Fane 14. Nøgletal'!C19</f>
        <v>60522.73828301781</v>
      </c>
      <c r="H19" s="14" t="s">
        <v>3</v>
      </c>
      <c r="I19" s="1"/>
    </row>
    <row r="20" spans="1:9" x14ac:dyDescent="0.25">
      <c r="A20" s="1"/>
      <c r="B20" s="39"/>
      <c r="C20" s="40"/>
      <c r="D20" s="40"/>
      <c r="E20" s="40"/>
      <c r="F20" s="40"/>
      <c r="G20" s="40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115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98" t="s">
        <v>116</v>
      </c>
      <c r="C23" s="99"/>
      <c r="D23" s="99"/>
      <c r="E23" s="99"/>
      <c r="F23" s="100"/>
      <c r="G23" s="26">
        <f>(SUM(G16:G18)-G19)*(1+'Fane 14. Nøgletal'!C11)</f>
        <v>7012658.1699688286</v>
      </c>
      <c r="H23" s="14" t="s">
        <v>3</v>
      </c>
      <c r="I23" s="1"/>
    </row>
    <row r="24" spans="1:9" x14ac:dyDescent="0.25">
      <c r="A24" s="1"/>
      <c r="B24" s="101" t="s">
        <v>117</v>
      </c>
      <c r="C24" s="102"/>
      <c r="D24" s="102"/>
      <c r="E24" s="102"/>
      <c r="F24" s="103"/>
      <c r="G24" s="26">
        <f>('Fane 2.1. Økonomisk ramme 2020'!C11+'Fane 2.1. Økonomisk ramme 2020'!C13+'Fane 2.1. Økonomisk ramme 2020'!C15)*(1+'Fane 14. Nøgletal'!C12)</f>
        <v>1177434.3154087602</v>
      </c>
      <c r="H24" s="14" t="s">
        <v>3</v>
      </c>
      <c r="I24" s="1"/>
    </row>
    <row r="25" spans="1:9" x14ac:dyDescent="0.25">
      <c r="A25" s="1"/>
      <c r="B25" s="98" t="s">
        <v>118</v>
      </c>
      <c r="C25" s="99"/>
      <c r="D25" s="99"/>
      <c r="E25" s="99"/>
      <c r="F25" s="100"/>
      <c r="G25" s="26">
        <f>G23*'Fane 14. Nøgletal'!C19+G24*'Fane 14. Nøgletal'!C20</f>
        <v>94449.260636337596</v>
      </c>
      <c r="H25" s="14" t="s">
        <v>3</v>
      </c>
      <c r="I25" s="1"/>
    </row>
    <row r="26" spans="1:9" x14ac:dyDescent="0.25">
      <c r="A26" s="1"/>
      <c r="B26" s="39"/>
      <c r="C26" s="40"/>
      <c r="D26" s="40"/>
      <c r="E26" s="40"/>
      <c r="F26" s="40"/>
      <c r="G26" s="40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190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98" t="s">
        <v>119</v>
      </c>
      <c r="C29" s="99"/>
      <c r="D29" s="99"/>
      <c r="E29" s="99"/>
      <c r="F29" s="100"/>
      <c r="G29" s="26">
        <f>(G23+G24-G25)*(1+'Fane 14. Nøgletal'!C12)</f>
        <v>8255127.3962686546</v>
      </c>
      <c r="H29" s="14" t="s">
        <v>3</v>
      </c>
      <c r="I29" s="1"/>
    </row>
    <row r="30" spans="1:9" x14ac:dyDescent="0.25">
      <c r="A30" s="1"/>
      <c r="B30" s="98" t="s">
        <v>151</v>
      </c>
      <c r="C30" s="99"/>
      <c r="D30" s="99"/>
      <c r="E30" s="99"/>
      <c r="F30" s="100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98" t="s">
        <v>219</v>
      </c>
      <c r="C31" s="99"/>
      <c r="D31" s="99"/>
      <c r="E31" s="99"/>
      <c r="F31" s="100"/>
      <c r="G31" s="26">
        <f>(G29+G30)*'Fane 14. Nøgletal'!C20</f>
        <v>234445.61805402979</v>
      </c>
      <c r="H31" s="14" t="s">
        <v>3</v>
      </c>
      <c r="I31" s="1"/>
    </row>
    <row r="32" spans="1:9" x14ac:dyDescent="0.25">
      <c r="A32" s="1"/>
      <c r="B32" s="39"/>
      <c r="C32" s="40"/>
      <c r="D32" s="40"/>
      <c r="E32" s="40"/>
      <c r="F32" s="40"/>
      <c r="G32" s="40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128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98" t="s">
        <v>123</v>
      </c>
      <c r="C35" s="99"/>
      <c r="D35" s="99"/>
      <c r="E35" s="99"/>
      <c r="F35" s="100"/>
      <c r="G35" s="26">
        <f>(G29-G31)*(1+'Fane 14. Nøgletal'!C12)</f>
        <v>8178689.2092454536</v>
      </c>
      <c r="H35" s="14" t="s">
        <v>3</v>
      </c>
      <c r="I35" s="1"/>
    </row>
    <row r="36" spans="1:9" x14ac:dyDescent="0.25">
      <c r="A36" s="1"/>
      <c r="B36" s="98" t="s">
        <v>152</v>
      </c>
      <c r="C36" s="99"/>
      <c r="D36" s="99"/>
      <c r="E36" s="99"/>
      <c r="F36" s="100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98" t="s">
        <v>120</v>
      </c>
      <c r="C37" s="99"/>
      <c r="D37" s="99"/>
      <c r="E37" s="99"/>
      <c r="F37" s="100"/>
      <c r="G37" s="26">
        <f>(G35+G36)*'Fane 14. Nøgletal'!C20</f>
        <v>232274.77354257088</v>
      </c>
      <c r="H37" s="14" t="s">
        <v>3</v>
      </c>
      <c r="I37" s="1"/>
    </row>
    <row r="38" spans="1:9" x14ac:dyDescent="0.25">
      <c r="A38" s="1"/>
      <c r="B38" s="39"/>
      <c r="C38" s="40"/>
      <c r="D38" s="40"/>
      <c r="E38" s="40"/>
      <c r="F38" s="40"/>
      <c r="G38" s="40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129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98" t="s">
        <v>122</v>
      </c>
      <c r="C41" s="99"/>
      <c r="D41" s="99"/>
      <c r="E41" s="99"/>
      <c r="F41" s="100"/>
      <c r="G41" s="26">
        <f>(G35-G37)*(1+'Fane 14. Nøgletal'!C12)</f>
        <v>8102958.80008623</v>
      </c>
      <c r="H41" s="14" t="s">
        <v>3</v>
      </c>
      <c r="I41" s="1"/>
    </row>
    <row r="42" spans="1:9" x14ac:dyDescent="0.25">
      <c r="A42" s="1"/>
      <c r="B42" s="98" t="s">
        <v>153</v>
      </c>
      <c r="C42" s="99"/>
      <c r="D42" s="99"/>
      <c r="E42" s="99"/>
      <c r="F42" s="100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98" t="s">
        <v>121</v>
      </c>
      <c r="C43" s="99"/>
      <c r="D43" s="99"/>
      <c r="E43" s="99"/>
      <c r="F43" s="100"/>
      <c r="G43" s="26">
        <f>(G41+G42)*'Fane 14. Nøgletal'!C20</f>
        <v>230124.02992244894</v>
      </c>
      <c r="H43" s="14" t="s">
        <v>3</v>
      </c>
      <c r="I43" s="1"/>
    </row>
    <row r="44" spans="1:9" x14ac:dyDescent="0.25">
      <c r="A44" s="1"/>
      <c r="B44" s="39"/>
      <c r="C44" s="40"/>
      <c r="D44" s="40"/>
      <c r="E44" s="40"/>
      <c r="F44" s="40"/>
      <c r="G44" s="40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/tYVL657NTGlpWV5LBkH/ezsQvqzmWxeE5Ga45EZhyk8Ms/11p0vdH48kvz5vVZv3AkdtND3xLv5/9d/iaE2RA==" saltValue="+sRNDUkwa9E6irQXYsTd1w==" spinCount="100000" sheet="1" objects="1" scenarios="1"/>
  <mergeCells count="29"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144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178</v>
      </c>
      <c r="C9" s="99"/>
      <c r="D9" s="99"/>
      <c r="E9" s="99"/>
      <c r="F9" s="100"/>
      <c r="G9" s="25">
        <v>4.3688541957912588E-5</v>
      </c>
      <c r="H9" s="14"/>
      <c r="I9" s="1"/>
    </row>
    <row r="10" spans="1:9" x14ac:dyDescent="0.25">
      <c r="A10" s="1"/>
      <c r="B10" s="98" t="s">
        <v>179</v>
      </c>
      <c r="C10" s="99"/>
      <c r="D10" s="99"/>
      <c r="E10" s="99"/>
      <c r="F10" s="100"/>
      <c r="G10" s="25">
        <v>3.4393446927334558E-5</v>
      </c>
      <c r="H10" s="14"/>
      <c r="I10" s="1"/>
    </row>
    <row r="11" spans="1:9" x14ac:dyDescent="0.25">
      <c r="A11" s="1"/>
      <c r="B11" s="39"/>
      <c r="C11" s="40"/>
      <c r="D11" s="40"/>
      <c r="E11" s="40"/>
      <c r="F11" s="40"/>
      <c r="G11" s="40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5"/>
      <c r="C13" s="105"/>
      <c r="D13" s="105"/>
      <c r="E13" s="105"/>
      <c r="F13" s="105"/>
      <c r="G13" s="105"/>
      <c r="H13" s="105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ZgibjrNYkgtxm/4zrM0QSu0Vk8cOxCn2xPcDWJxlOy6qZ8d2K7+PSNmlhpsTmYE4HFmab+sXszZLuetbzP5cgQ==" saltValue="EBdX6FYR88BQHPVm4S2lfg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2019-09-09T09:43:54Z</dcterms:modified>
</cp:coreProperties>
</file>