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Herlev AS (V08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2" i="11"/>
  <c r="E10" i="1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3" i="11" l="1"/>
  <c r="C10" i="37" s="1"/>
  <c r="C11" i="37" s="1"/>
  <c r="C12" i="37" s="1"/>
  <c r="C10" i="2" s="1"/>
  <c r="G13" i="11"/>
  <c r="E11" i="21" l="1"/>
  <c r="C11" i="21"/>
  <c r="E11" i="29"/>
  <c r="C11" i="29"/>
  <c r="C16" i="19"/>
  <c r="C17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3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<sst xmlns="http://schemas.openxmlformats.org/spreadsheetml/2006/main" count="599" uniqueCount="247">
  <si>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</si>
  <si>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</si>
  <si>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</si>
  <si>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</si>
  <si>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</si>
  <si>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</si>
  <si>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</si>
  <si>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</si>
  <si>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</si>
  <si>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</si>
  <si>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</si>
  <si>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</si>
  <si>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</si>
  <si>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</si>
  <si>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</si>
  <si>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</si>
  <si>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</si>
  <si>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</si>
  <si>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</si>
  <si>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</si>
  <si>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</si>
  <si>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</si>
  <si>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</si>
  <si>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</si>
  <si>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</si>
  <si>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</si>
  <si>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</si>
  <si>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</si>
  <si>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</si>
  <si>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</si>
  <si>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</si>
  <si>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</si>
  <si>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</si>
  <si>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</si>
  <si>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</si>
  <si>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</si>
  <si>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</si>
  <si>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</si>
  <si>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</si>
  <si>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</si>
  <si>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</si>
  <si>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</si>
  <si>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</si>
  <si>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</si>
  <si>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</si>
  <si>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</si>
  <si>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</si>
  <si>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</si>
  <si>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</si>
  <si>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</si>
  <si>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</si>
  <si>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</si>
  <si>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</si>
  <si>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</si>
  <si>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</si>
  <si>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</si>
  <si>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</si>
  <si>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</si>
  <si>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</si>
  <si>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</si>
  <si>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</si>
  <si>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</si>
  <si>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</si>
  <si>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</si>
  <si>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</si>
  <si>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</si>
  <si>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</si>
  <si>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</si>
  <si>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</si>
  <si>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</si>
  <si>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</si>
  <si>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</si>
  <si>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</si>
  <si>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</si>
  <si>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</si>
  <si>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</si>
  <si>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</si>
  <si>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</si>
  <si>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</si>
  <si>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</si>
  <si>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</si>
  <si>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</si>
  <si>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</si>
  <si>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</si>
  <si>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</si>
  <si>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</si>
  <si>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</si>
  <si>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</si>
  <si>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</si>
  <si>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</si>
  <si>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</si>
  <si>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</si>
  <si>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</si>
  <si>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</si>
  <si>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</si>
  <si>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</si>
  <si>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</si>
  <si>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</si>
  <si>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</si>
  <si>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</si>
  <si>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</si>
  <si>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</si>
  <si>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</si>
  <si>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</si>
  <si>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</si>
  <si>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</si>
  <si>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</si>
  <si>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</si>
  <si>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</si>
  <si>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</si>
  <si>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</si>
  <si>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</si>
  <si>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</si>
  <si>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</si>
  <si>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</si>
  <si>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</si>
  <si>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</si>
  <si>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</si>
  <si>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</si>
  <si>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</si>
  <si>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</si>
  <si>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</si>
  <si>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</si>
  <si>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</si>
  <si>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</si>
  <si>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</si>
  <si>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</si>
  <si>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</si>
  <si>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</si>
  <si>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</si>
  <si>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</si>
  <si>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</si>
  <si>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</si>
  <si>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</si>
  <si>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</si>
  <si>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</si>
  <si>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</si>
  <si>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</si>
  <si>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</si>
  <si>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</si>
  <si>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</si>
  <si>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</si>
  <si>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</si>
  <si>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</si>
  <si>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</si>
  <si>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</si>
  <si>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</si>
  <si>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</si>
  <si>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</si>
  <si>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</si>
  <si>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</si>
  <si>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</si>
  <si>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</si>
  <si>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</si>
  <si>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</si>
  <si>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</si>
  <si>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</si>
  <si>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</si>
  <si>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</si>
  <si>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</si>
  <si>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</si>
  <si>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</si>
  <si>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</si>
  <si>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</si>
  <si>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</si>
  <si>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</si>
  <si>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</si>
  <si>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</si>
  <si>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</si>
  <si>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</si>
  <si>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</si>
  <si>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</si>
  <si>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</si>
  <si>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</si>
  <si>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</si>
  <si>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</si>
  <si>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</si>
  <si>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</si>
  <si>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</si>
  <si>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</si>
  <si>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</si>
  <si>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</si>
  <si>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</si>
  <si>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</si>
  <si>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</si>
  <si>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</si>
  <si>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</si>
  <si>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</si>
  <si>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</si>
  <si>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</si>
  <si>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</si>
  <si>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</si>
  <si>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</si>
  <si>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</si>
  <si>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</si>
  <si>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</si>
  <si>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</si>
  <si>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</si>
  <si>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</si>
  <si>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</si>
  <si>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</si>
  <si>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</si>
  <si>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</si>
  <si>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</si>
  <si>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</si>
  <si>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</si>
  <si>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</si>
  <si>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</si>
  <si>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</si>
  <si>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</si>
  <si>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</si>
  <si>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</si>
  <si>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</si>
  <si>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</si>
  <si>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</si>
  <si>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</si>
  <si>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</si>
  <si>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</si>
  <si>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</si>
  <si>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</si>
  <si>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</si>
  <si>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</si>
  <si>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</si>
  <si>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</si>
  <si>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</si>
  <si>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</si>
  <si>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</si>
  <si>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</si>
  <si>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</si>
  <si>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</si>
  <si>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</si>
  <si>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</si>
  <si>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</si>
  <si>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</si>
  <si>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SRO-brønd/kvarterbrønd/sektionsbrønd, SRO</t>
  </si>
  <si>
    <t>Software FAS til SAP</t>
  </si>
  <si>
    <t>Softwre sektionering - HOMIS</t>
  </si>
  <si>
    <t>Anlægsprojekter igangsat senest 1. marts 2016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</si>
  <si>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</si>
  <si>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</si>
  <si>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</si>
  <si>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</si>
  <si>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Selskabsskatter</t>
  </si>
  <si>
    <t>Tjenestemandspensioner</t>
  </si>
  <si>
    <t>Ingen engangstillæg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</si>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</sst>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4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5">
      <c r="A8" s="1"/>
      <c r="B8" s="1"/>
      <c r="C8" s="4"/>
      <c r="D8" s="68" t="s">
        <v>192</v>
      </c>
      <c r="E8" s="68"/>
      <c r="F8" s="68"/>
      <c r="G8" s="68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3" t="s">
        <v>56</v>
      </c>
      <c r="E13" s="64"/>
      <c r="F13" s="64"/>
      <c r="G13" s="65"/>
      <c r="H13" s="1"/>
      <c r="I13" s="1"/>
    </row>
    <row r="14" spans="1:9" x14ac:dyDescent="0.45">
      <c r="A14" s="1"/>
      <c r="B14" s="1"/>
      <c r="C14" s="6" t="s">
        <v>22</v>
      </c>
      <c r="D14" s="63" t="s">
        <v>177</v>
      </c>
      <c r="E14" s="64"/>
      <c r="F14" s="64"/>
      <c r="G14" s="65"/>
      <c r="H14" s="1"/>
      <c r="I14" s="1"/>
    </row>
    <row r="15" spans="1:9" x14ac:dyDescent="0.45">
      <c r="A15" s="1"/>
      <c r="B15" s="1"/>
      <c r="C15" s="6" t="s">
        <v>55</v>
      </c>
      <c r="D15" s="63" t="s">
        <v>133</v>
      </c>
      <c r="E15" s="64"/>
      <c r="F15" s="64"/>
      <c r="G15" s="65"/>
      <c r="H15" s="1"/>
      <c r="I15" s="1"/>
    </row>
    <row r="16" spans="1:9" x14ac:dyDescent="0.45">
      <c r="A16" s="1"/>
      <c r="B16" s="1"/>
      <c r="C16" s="6" t="s">
        <v>57</v>
      </c>
      <c r="D16" s="63" t="s">
        <v>134</v>
      </c>
      <c r="E16" s="64"/>
      <c r="F16" s="64"/>
      <c r="G16" s="65"/>
      <c r="H16" s="1"/>
      <c r="I16" s="1"/>
    </row>
    <row r="17" spans="1:9" x14ac:dyDescent="0.45">
      <c r="A17" s="1"/>
      <c r="B17" s="1"/>
      <c r="C17" s="6" t="s">
        <v>224</v>
      </c>
      <c r="D17" s="63" t="s">
        <v>66</v>
      </c>
      <c r="E17" s="64"/>
      <c r="F17" s="64"/>
      <c r="G17" s="65"/>
      <c r="H17" s="1"/>
      <c r="I17" s="1"/>
    </row>
    <row r="18" spans="1:9" x14ac:dyDescent="0.45">
      <c r="A18" s="1"/>
      <c r="B18" s="1"/>
      <c r="C18" s="34" t="s">
        <v>196</v>
      </c>
      <c r="D18" s="69" t="s">
        <v>162</v>
      </c>
      <c r="E18" s="70"/>
      <c r="F18" s="70"/>
      <c r="G18" s="71"/>
      <c r="H18" s="1"/>
      <c r="I18" s="1"/>
    </row>
    <row r="19" spans="1:9" x14ac:dyDescent="0.45">
      <c r="A19" s="1"/>
      <c r="B19" s="1"/>
      <c r="C19" s="34" t="s">
        <v>197</v>
      </c>
      <c r="D19" s="69" t="s">
        <v>163</v>
      </c>
      <c r="E19" s="70"/>
      <c r="F19" s="70"/>
      <c r="G19" s="71"/>
      <c r="H19" s="1"/>
      <c r="I19" s="1"/>
    </row>
    <row r="20" spans="1:9" x14ac:dyDescent="0.45">
      <c r="A20" s="1"/>
      <c r="B20" s="1"/>
      <c r="C20" s="34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45">
      <c r="A21" s="1"/>
      <c r="B21" s="1"/>
      <c r="C21" s="6" t="s">
        <v>198</v>
      </c>
      <c r="D21" s="60" t="s">
        <v>17</v>
      </c>
      <c r="E21" s="61"/>
      <c r="F21" s="61"/>
      <c r="G21" s="62"/>
      <c r="H21" s="1"/>
      <c r="I21" s="1"/>
    </row>
    <row r="22" spans="1:9" x14ac:dyDescent="0.45">
      <c r="A22" s="1"/>
      <c r="B22" s="1"/>
      <c r="C22" s="6" t="s">
        <v>140</v>
      </c>
      <c r="D22" s="54" t="s">
        <v>161</v>
      </c>
      <c r="E22" s="55"/>
      <c r="F22" s="55"/>
      <c r="G22" s="56"/>
      <c r="H22" s="1"/>
      <c r="I22" s="1"/>
    </row>
    <row r="23" spans="1:9" x14ac:dyDescent="0.45">
      <c r="A23" s="1"/>
      <c r="B23" s="1"/>
      <c r="C23" s="6" t="s">
        <v>8</v>
      </c>
      <c r="D23" s="54" t="s">
        <v>225</v>
      </c>
      <c r="E23" s="55"/>
      <c r="F23" s="55"/>
      <c r="G23" s="56"/>
      <c r="H23" s="1"/>
      <c r="I23" s="1"/>
    </row>
    <row r="24" spans="1:9" x14ac:dyDescent="0.45">
      <c r="A24" s="1"/>
      <c r="B24" s="1"/>
      <c r="C24" s="6" t="s">
        <v>9</v>
      </c>
      <c r="D24" s="54" t="s">
        <v>58</v>
      </c>
      <c r="E24" s="55"/>
      <c r="F24" s="55"/>
      <c r="G24" s="56"/>
      <c r="H24" s="1"/>
      <c r="I24" s="1"/>
    </row>
    <row r="25" spans="1:9" x14ac:dyDescent="0.45">
      <c r="A25" s="1"/>
      <c r="B25" s="1"/>
      <c r="C25" s="6" t="s">
        <v>199</v>
      </c>
      <c r="D25" s="54" t="s">
        <v>141</v>
      </c>
      <c r="E25" s="55"/>
      <c r="F25" s="55"/>
      <c r="G25" s="56"/>
      <c r="H25" s="1"/>
      <c r="I25" s="1"/>
    </row>
    <row r="26" spans="1:9" x14ac:dyDescent="0.45">
      <c r="A26" s="1"/>
      <c r="B26" s="1"/>
      <c r="C26" s="6" t="s">
        <v>200</v>
      </c>
      <c r="D26" s="54" t="s">
        <v>142</v>
      </c>
      <c r="E26" s="55"/>
      <c r="F26" s="55"/>
      <c r="G26" s="56"/>
      <c r="H26" s="1"/>
      <c r="I26" s="1"/>
    </row>
    <row r="27" spans="1:9" x14ac:dyDescent="0.45">
      <c r="A27" s="1"/>
      <c r="B27" s="1"/>
      <c r="C27" s="6" t="s">
        <v>201</v>
      </c>
      <c r="D27" s="54" t="s">
        <v>59</v>
      </c>
      <c r="E27" s="55"/>
      <c r="F27" s="55"/>
      <c r="G27" s="56"/>
      <c r="H27" s="1"/>
      <c r="I27" s="1"/>
    </row>
    <row r="28" spans="1:9" x14ac:dyDescent="0.45">
      <c r="A28" s="1"/>
      <c r="B28" s="1"/>
      <c r="C28" s="6" t="s">
        <v>183</v>
      </c>
      <c r="D28" s="54" t="s">
        <v>60</v>
      </c>
      <c r="E28" s="55"/>
      <c r="F28" s="55"/>
      <c r="G28" s="56"/>
      <c r="H28" s="1"/>
      <c r="I28" s="1"/>
    </row>
    <row r="29" spans="1:9" x14ac:dyDescent="0.45">
      <c r="A29" s="1"/>
      <c r="B29" s="1"/>
      <c r="C29" s="6" t="s">
        <v>61</v>
      </c>
      <c r="D29" s="51" t="s">
        <v>11</v>
      </c>
      <c r="E29" s="52"/>
      <c r="F29" s="52"/>
      <c r="G29" s="53"/>
      <c r="H29" s="1"/>
      <c r="I29" s="1"/>
    </row>
    <row r="30" spans="1:9" x14ac:dyDescent="0.45">
      <c r="A30" s="1"/>
      <c r="B30" s="1"/>
      <c r="C30" s="6" t="s">
        <v>62</v>
      </c>
      <c r="D30" s="57" t="s">
        <v>184</v>
      </c>
      <c r="E30" s="58"/>
      <c r="F30" s="58"/>
      <c r="G30" s="59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wZh59XVq1vS/OERduOmcaDap5Ivj1FhjeqnmvzfPN82XDCJgxftS8JweqkyTKD8zVKRDjzOcAxy5HsHHLkuWzA==" saltValue="JOAwlT9LHED46+MuKvu7cg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204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69</v>
      </c>
      <c r="C8" s="96"/>
      <c r="D8" s="97"/>
      <c r="E8" s="1"/>
      <c r="F8" s="1"/>
    </row>
    <row r="9" spans="1:6" ht="15" customHeight="1" x14ac:dyDescent="0.45">
      <c r="A9" s="1"/>
      <c r="B9" s="39" t="s">
        <v>48</v>
      </c>
      <c r="C9" s="11" t="s">
        <v>70</v>
      </c>
      <c r="D9" s="11"/>
      <c r="E9" s="1"/>
      <c r="F9" s="1"/>
    </row>
    <row r="10" spans="1:6" x14ac:dyDescent="0.45">
      <c r="A10" s="1"/>
      <c r="B10" s="48" t="s">
        <v>238</v>
      </c>
      <c r="C10" s="9">
        <v>9800946</v>
      </c>
      <c r="D10" s="14" t="s">
        <v>3</v>
      </c>
      <c r="E10" s="1"/>
      <c r="F10" s="1"/>
    </row>
    <row r="11" spans="1:6" x14ac:dyDescent="0.45">
      <c r="A11" s="1"/>
      <c r="B11" s="48" t="s">
        <v>239</v>
      </c>
      <c r="C11" s="9">
        <v>41087</v>
      </c>
      <c r="D11" s="14" t="s">
        <v>3</v>
      </c>
      <c r="E11" s="1"/>
      <c r="F11" s="1"/>
    </row>
    <row r="12" spans="1:6" ht="26.65" x14ac:dyDescent="0.45">
      <c r="A12" s="1"/>
      <c r="B12" s="45" t="s">
        <v>240</v>
      </c>
      <c r="C12" s="9">
        <v>7115766</v>
      </c>
      <c r="D12" s="14" t="s">
        <v>3</v>
      </c>
      <c r="E12" s="1"/>
      <c r="F12" s="1"/>
    </row>
    <row r="13" spans="1:6" x14ac:dyDescent="0.45">
      <c r="A13" s="1"/>
      <c r="B13" s="48" t="s">
        <v>241</v>
      </c>
      <c r="C13" s="9">
        <v>33043</v>
      </c>
      <c r="D13" s="14" t="s">
        <v>3</v>
      </c>
      <c r="E13" s="1"/>
      <c r="F13" s="1"/>
    </row>
    <row r="14" spans="1:6" x14ac:dyDescent="0.45">
      <c r="A14" s="1"/>
      <c r="B14" s="48" t="s">
        <v>242</v>
      </c>
      <c r="C14" s="9">
        <v>906439</v>
      </c>
      <c r="D14" s="14" t="s">
        <v>3</v>
      </c>
      <c r="E14" s="1"/>
      <c r="F14" s="1"/>
    </row>
    <row r="15" spans="1:6" x14ac:dyDescent="0.45">
      <c r="A15" s="1"/>
      <c r="B15" s="48" t="s">
        <v>243</v>
      </c>
      <c r="C15" s="9">
        <v>217611</v>
      </c>
      <c r="D15" s="14" t="s">
        <v>3</v>
      </c>
      <c r="E15" s="1"/>
      <c r="F15" s="1"/>
    </row>
    <row r="16" spans="1:6" x14ac:dyDescent="0.45">
      <c r="A16" s="1"/>
      <c r="B16" s="46" t="s">
        <v>71</v>
      </c>
      <c r="C16" s="12">
        <f>SUM(C10:C15)</f>
        <v>18114892</v>
      </c>
      <c r="D16" s="13" t="s">
        <v>3</v>
      </c>
      <c r="E16" s="1"/>
      <c r="F16" s="1"/>
    </row>
    <row r="17" spans="1:6" x14ac:dyDescent="0.45">
      <c r="A17" s="1"/>
      <c r="B17" s="46" t="s">
        <v>72</v>
      </c>
      <c r="C17" s="12">
        <f>C16*(1+'Fane 14. Nøgletal'!C12)^2</f>
        <v>18835648.953236282</v>
      </c>
      <c r="D17" s="13" t="s">
        <v>3</v>
      </c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6"/>
      <c r="C19" s="15"/>
      <c r="D19" s="15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v0+qHz0BcglOvT2QfGpB+KGIxneSmOs4qpzliqz6cByRquD5vINQYaHCmYK6sY6hWsooeA+RtiqTbozjcYo9LA==" saltValue="6mVrHXtFbtvl900IyKLDw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2" t="s">
        <v>205</v>
      </c>
      <c r="C3" s="82"/>
      <c r="D3" s="82"/>
      <c r="E3" s="82"/>
      <c r="F3" s="82"/>
      <c r="G3" s="1"/>
    </row>
    <row r="4" spans="1:7" ht="15" customHeight="1" x14ac:dyDescent="0.45">
      <c r="A4" s="1"/>
      <c r="B4" s="82"/>
      <c r="C4" s="82"/>
      <c r="D4" s="82"/>
      <c r="E4" s="82"/>
      <c r="F4" s="82"/>
      <c r="G4" s="1"/>
    </row>
    <row r="5" spans="1:7" ht="15" customHeight="1" x14ac:dyDescent="0.45">
      <c r="A5" s="1"/>
      <c r="B5" s="44"/>
      <c r="C5" s="44"/>
      <c r="D5" s="44"/>
      <c r="E5" s="44"/>
      <c r="F5" s="44"/>
      <c r="G5" s="1"/>
    </row>
    <row r="6" spans="1:7" ht="15" customHeight="1" x14ac:dyDescent="0.4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45">
      <c r="A7" s="1"/>
      <c r="B7" s="98" t="s">
        <v>50</v>
      </c>
      <c r="C7" s="99"/>
      <c r="D7" s="100"/>
      <c r="E7" s="9">
        <v>1419142.9470666666</v>
      </c>
      <c r="F7" s="14" t="s">
        <v>3</v>
      </c>
      <c r="G7" s="1"/>
    </row>
    <row r="8" spans="1:7" ht="15" customHeight="1" x14ac:dyDescent="0.45">
      <c r="A8" s="1"/>
      <c r="B8" s="98" t="s">
        <v>51</v>
      </c>
      <c r="C8" s="99"/>
      <c r="D8" s="100"/>
      <c r="E8" s="9">
        <v>-2305503.7504474521</v>
      </c>
      <c r="F8" s="14" t="s">
        <v>3</v>
      </c>
      <c r="G8" s="1"/>
    </row>
    <row r="9" spans="1:7" ht="15" customHeight="1" x14ac:dyDescent="0.45">
      <c r="A9" s="1"/>
      <c r="B9" s="106" t="s">
        <v>186</v>
      </c>
      <c r="C9" s="107"/>
      <c r="D9" s="108"/>
      <c r="E9" s="10">
        <f>SUM(E7:E8)</f>
        <v>-886360.80338078551</v>
      </c>
      <c r="F9" s="17" t="s">
        <v>3</v>
      </c>
      <c r="G9" s="1"/>
    </row>
    <row r="10" spans="1:7" ht="15" customHeight="1" x14ac:dyDescent="0.45">
      <c r="A10" s="1"/>
      <c r="B10" s="46"/>
      <c r="C10" s="47"/>
      <c r="D10" s="47"/>
      <c r="E10" s="47"/>
      <c r="F10" s="22"/>
      <c r="G10" s="1"/>
    </row>
    <row r="11" spans="1:7" ht="28.5" customHeight="1" x14ac:dyDescent="0.45">
      <c r="A11" s="1"/>
      <c r="B11" s="86" t="s">
        <v>188</v>
      </c>
      <c r="C11" s="87"/>
      <c r="D11" s="87"/>
      <c r="E11" s="87"/>
      <c r="F11" s="88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165</v>
      </c>
      <c r="C14" s="96"/>
      <c r="D14" s="96"/>
      <c r="E14" s="96"/>
      <c r="F14" s="97"/>
      <c r="G14" s="1"/>
    </row>
    <row r="15" spans="1:7" x14ac:dyDescent="0.45">
      <c r="A15" s="1"/>
      <c r="B15" s="98" t="s">
        <v>166</v>
      </c>
      <c r="C15" s="99"/>
      <c r="D15" s="100"/>
      <c r="E15" s="9">
        <v>23983501.620671313</v>
      </c>
      <c r="F15" s="14" t="s">
        <v>3</v>
      </c>
      <c r="G15" s="1"/>
    </row>
    <row r="16" spans="1:7" x14ac:dyDescent="0.45">
      <c r="A16" s="1"/>
      <c r="B16" s="98" t="s">
        <v>167</v>
      </c>
      <c r="C16" s="99"/>
      <c r="D16" s="100"/>
      <c r="E16" s="9">
        <v>23273311</v>
      </c>
      <c r="F16" s="14" t="s">
        <v>3</v>
      </c>
      <c r="G16" s="1"/>
    </row>
    <row r="17" spans="1:7" x14ac:dyDescent="0.4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45">
      <c r="A18" s="1"/>
      <c r="B18" s="106" t="s">
        <v>187</v>
      </c>
      <c r="C18" s="107"/>
      <c r="D18" s="108"/>
      <c r="E18" s="10">
        <f>E15-(E16-E17)</f>
        <v>710190.62067131326</v>
      </c>
      <c r="F18" s="17" t="s">
        <v>3</v>
      </c>
      <c r="G18" s="1"/>
    </row>
    <row r="19" spans="1:7" x14ac:dyDescent="0.45">
      <c r="A19" s="1"/>
      <c r="B19" s="46"/>
      <c r="C19" s="47"/>
      <c r="D19" s="47"/>
      <c r="E19" s="47"/>
      <c r="F19" s="22"/>
      <c r="G19" s="1"/>
    </row>
    <row r="20" spans="1:7" ht="30" customHeight="1" x14ac:dyDescent="0.45">
      <c r="A20" s="1"/>
      <c r="B20" s="86" t="s">
        <v>189</v>
      </c>
      <c r="C20" s="87"/>
      <c r="D20" s="87"/>
      <c r="E20" s="87"/>
      <c r="F20" s="88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95" t="s">
        <v>77</v>
      </c>
      <c r="C23" s="96"/>
      <c r="D23" s="96"/>
      <c r="E23" s="96"/>
      <c r="F23" s="97"/>
      <c r="G23" s="1"/>
    </row>
    <row r="24" spans="1:7" x14ac:dyDescent="0.45">
      <c r="A24" s="1"/>
      <c r="B24" s="98" t="s">
        <v>78</v>
      </c>
      <c r="C24" s="99"/>
      <c r="D24" s="100"/>
      <c r="E24" s="9">
        <v>27853148.833924193</v>
      </c>
      <c r="F24" s="14" t="s">
        <v>3</v>
      </c>
      <c r="G24" s="1"/>
    </row>
    <row r="25" spans="1:7" x14ac:dyDescent="0.45">
      <c r="A25" s="1"/>
      <c r="B25" s="98" t="s">
        <v>79</v>
      </c>
      <c r="C25" s="99"/>
      <c r="D25" s="100"/>
      <c r="E25" s="9">
        <v>26155969</v>
      </c>
      <c r="F25" s="14" t="s">
        <v>3</v>
      </c>
      <c r="G25" s="1"/>
    </row>
    <row r="26" spans="1:7" x14ac:dyDescent="0.4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45">
      <c r="A27" s="1"/>
      <c r="B27" s="106" t="s">
        <v>187</v>
      </c>
      <c r="C27" s="107"/>
      <c r="D27" s="108"/>
      <c r="E27" s="10">
        <f>E24-(E25-E26)</f>
        <v>1697179.8339241929</v>
      </c>
      <c r="F27" s="17" t="s">
        <v>3</v>
      </c>
      <c r="G27" s="1"/>
    </row>
    <row r="28" spans="1:7" x14ac:dyDescent="0.45">
      <c r="A28" s="1"/>
      <c r="B28" s="46"/>
      <c r="C28" s="47"/>
      <c r="D28" s="47"/>
      <c r="E28" s="47"/>
      <c r="F28" s="22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95" t="s">
        <v>245</v>
      </c>
      <c r="C31" s="96"/>
      <c r="D31" s="96"/>
      <c r="E31" s="96"/>
      <c r="F31" s="97"/>
      <c r="G31" s="1"/>
    </row>
    <row r="32" spans="1:7" x14ac:dyDescent="0.45">
      <c r="A32" s="1"/>
      <c r="B32" s="106" t="s">
        <v>246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-88085.091354736127</v>
      </c>
      <c r="F32" s="17" t="s">
        <v>3</v>
      </c>
      <c r="G32" s="1"/>
    </row>
    <row r="33" spans="1:7" x14ac:dyDescent="0.45">
      <c r="A33" s="1"/>
      <c r="B33" s="95"/>
      <c r="C33" s="96"/>
      <c r="D33" s="96"/>
      <c r="E33" s="96"/>
      <c r="F33" s="97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5" t="s">
        <v>180</v>
      </c>
      <c r="C36" s="96"/>
      <c r="D36" s="96"/>
      <c r="E36" s="96"/>
      <c r="F36" s="97"/>
      <c r="G36" s="1"/>
    </row>
    <row r="37" spans="1:7" x14ac:dyDescent="0.4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4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4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45">
      <c r="A40" s="1"/>
      <c r="B40" s="95"/>
      <c r="C40" s="96"/>
      <c r="D40" s="96"/>
      <c r="E40" s="96"/>
      <c r="F40" s="97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</sheetData>
  <sheetProtection algorithmName="SHA-512" hashValue="9iE/B18i06LX8UNv5gQtT3UpwPD8EmLxKwdMoDjMXLwcVz+TzV57le8CSZ3eWDz8+y7CGD/pffZBYT/hzRLh+Q==" saltValue="L7bt5ymishd5kSs1qhX8kA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13281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2" t="s">
        <v>228</v>
      </c>
      <c r="C3" s="82"/>
      <c r="D3" s="82"/>
      <c r="E3" s="82"/>
      <c r="F3" s="82"/>
      <c r="G3" s="1"/>
    </row>
    <row r="4" spans="1:7" ht="1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45">
      <c r="A9" s="1"/>
      <c r="B9" s="92" t="s">
        <v>164</v>
      </c>
      <c r="C9" s="93"/>
      <c r="D9" s="94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8485.5276286247135</v>
      </c>
      <c r="F9" s="11" t="s">
        <v>3</v>
      </c>
      <c r="G9" s="1"/>
    </row>
    <row r="10" spans="1:7" x14ac:dyDescent="0.45">
      <c r="A10" s="1"/>
      <c r="B10" s="46" t="s">
        <v>175</v>
      </c>
      <c r="C10" s="47"/>
      <c r="D10" s="47"/>
      <c r="E10" s="12">
        <f>E9</f>
        <v>8485.5276286247135</v>
      </c>
      <c r="F10" s="13" t="s">
        <v>3</v>
      </c>
      <c r="G10" s="1"/>
    </row>
    <row r="11" spans="1:7" x14ac:dyDescent="0.45">
      <c r="A11" s="1"/>
      <c r="B11" s="1"/>
      <c r="C11" s="1"/>
      <c r="D11" s="1"/>
      <c r="E11" s="1"/>
      <c r="F11" s="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5g6KpWyp63YTLkD4Vd+cEG3jUnFK7lEhOdiQUivNFlVfBIEHo6JChprRHQkxf3I+8XbIOffeAJj9IP/ncs20yw==" saltValue="tP7F+tDJBJUkgm4XTzwfk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ht="39.75" x14ac:dyDescent="0.45">
      <c r="A10" s="1"/>
      <c r="B10" s="115" t="s">
        <v>234</v>
      </c>
      <c r="C10" s="116">
        <v>10</v>
      </c>
      <c r="D10" s="9">
        <v>846826</v>
      </c>
      <c r="E10" s="9">
        <f>IFERROR(D10/C10,0)</f>
        <v>84682.6</v>
      </c>
      <c r="F10" s="9">
        <v>0</v>
      </c>
      <c r="G10" s="9">
        <v>11714</v>
      </c>
      <c r="H10" s="14" t="s">
        <v>3</v>
      </c>
      <c r="I10" s="1"/>
    </row>
    <row r="11" spans="1:9" x14ac:dyDescent="0.45">
      <c r="A11" s="1"/>
      <c r="B11" s="115" t="s">
        <v>235</v>
      </c>
      <c r="C11" s="116">
        <v>5</v>
      </c>
      <c r="D11" s="9">
        <v>7077</v>
      </c>
      <c r="E11" s="9">
        <f t="shared" ref="E11:E12" si="0">IFERROR(D11/C11,0)</f>
        <v>1415.4</v>
      </c>
      <c r="F11" s="9">
        <v>0</v>
      </c>
      <c r="G11" s="9">
        <v>98</v>
      </c>
      <c r="H11" s="14" t="s">
        <v>3</v>
      </c>
      <c r="I11" s="1"/>
    </row>
    <row r="12" spans="1:9" ht="26.65" x14ac:dyDescent="0.45">
      <c r="A12" s="1"/>
      <c r="B12" s="115" t="s">
        <v>236</v>
      </c>
      <c r="C12" s="116">
        <v>5</v>
      </c>
      <c r="D12" s="9">
        <v>1503284</v>
      </c>
      <c r="E12" s="9">
        <f t="shared" si="0"/>
        <v>300656.8</v>
      </c>
      <c r="F12" s="9">
        <v>0</v>
      </c>
      <c r="G12" s="9">
        <v>20795</v>
      </c>
      <c r="H12" s="14" t="s">
        <v>3</v>
      </c>
      <c r="I12" s="1"/>
    </row>
    <row r="13" spans="1:9" x14ac:dyDescent="0.45">
      <c r="A13" s="1"/>
      <c r="B13" s="95" t="s">
        <v>231</v>
      </c>
      <c r="C13" s="96"/>
      <c r="D13" s="97"/>
      <c r="E13" s="12">
        <f>SUM(E10:E12)</f>
        <v>386754.8</v>
      </c>
      <c r="F13" s="12">
        <f t="shared" ref="F13:G13" si="1">SUM(F10:F12)</f>
        <v>0</v>
      </c>
      <c r="G13" s="12">
        <f t="shared" si="1"/>
        <v>32607</v>
      </c>
      <c r="H13" s="13" t="s">
        <v>3</v>
      </c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7gO3Qa1KNuDRgvcuo3ijBd7VMgeSKswaSXFQCbGwo9yNRrVCI29Ot+sn/dQ4527dHDC96N97dqtaiOTrym0BGA==" saltValue="a/dqOTLNvM8lxIGpE40EnA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4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45">
      <c r="A10" s="1"/>
      <c r="B10" s="27" t="s">
        <v>237</v>
      </c>
      <c r="C10" s="24">
        <f>'Fane 9. Anlægsprojekter'!F13</f>
        <v>0</v>
      </c>
      <c r="D10" s="14" t="s">
        <v>3</v>
      </c>
      <c r="E10" s="9">
        <f>SUM('Fane 9. Anlægsprojekter'!E13,'Fane 9. Anlægsprojekter'!G13)</f>
        <v>419361.8</v>
      </c>
      <c r="F10" s="14" t="s">
        <v>3</v>
      </c>
      <c r="G10" s="1"/>
    </row>
    <row r="11" spans="1:7" x14ac:dyDescent="0.45">
      <c r="A11" s="1"/>
      <c r="B11" s="46" t="s">
        <v>63</v>
      </c>
      <c r="C11" s="12">
        <f>SUM(C10:C10)</f>
        <v>0</v>
      </c>
      <c r="D11" s="13" t="s">
        <v>3</v>
      </c>
      <c r="E11" s="12">
        <f>SUM(E10:E10)</f>
        <v>419361.8</v>
      </c>
      <c r="F11" s="13" t="s">
        <v>3</v>
      </c>
      <c r="G11" s="1"/>
    </row>
    <row r="12" spans="1:7" x14ac:dyDescent="0.45">
      <c r="A12" s="1"/>
      <c r="B12" s="46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427623.22746000002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</sheetData>
  <sheetProtection algorithmName="SHA-512" hashValue="aYKluCCnW4mJpAm2JiRU8pPl7BnyW626kTq+H0SscX+jz3rzdrLR+vGZBI4HgZdgHj/C0VspZjxbc/IywpQwrQ==" saltValue="TxhtVrEEfgSgMrzldGw4o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168</v>
      </c>
      <c r="C8" s="96"/>
      <c r="D8" s="96"/>
      <c r="E8" s="96"/>
      <c r="F8" s="97"/>
      <c r="G8" s="1"/>
    </row>
    <row r="9" spans="1:7" x14ac:dyDescent="0.4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45">
      <c r="A10" s="1"/>
      <c r="B10" s="27" t="s">
        <v>244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4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4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169</v>
      </c>
      <c r="C16" s="96"/>
      <c r="D16" s="96"/>
      <c r="E16" s="96"/>
      <c r="F16" s="97"/>
      <c r="G16" s="1"/>
    </row>
    <row r="17" spans="1:7" x14ac:dyDescent="0.4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45">
      <c r="A18" s="1"/>
      <c r="B18" s="27" t="s">
        <v>244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4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4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170</v>
      </c>
      <c r="C24" s="96"/>
      <c r="D24" s="96"/>
      <c r="E24" s="96"/>
      <c r="F24" s="97"/>
      <c r="G24" s="1"/>
    </row>
    <row r="25" spans="1:7" x14ac:dyDescent="0.4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45">
      <c r="A26" s="1"/>
      <c r="B26" s="27" t="s">
        <v>244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4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4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171</v>
      </c>
      <c r="C32" s="96"/>
      <c r="D32" s="96"/>
      <c r="E32" s="96"/>
      <c r="F32" s="97"/>
      <c r="G32" s="1"/>
    </row>
    <row r="33" spans="1:7" x14ac:dyDescent="0.4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45">
      <c r="A34" s="1"/>
      <c r="B34" s="27" t="s">
        <v>244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4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4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Nd0LndfcUzgrtv7N9gxGWcLyCqcr4bV8ZVJAybvQKBSsOy6DG0gYO5nasKcR6r6gqNfiaPDxgJY8i+YPMzkHnw==" saltValue="q2CwIDqJ7HlgGiklyYwjY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208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45">
      <c r="A9" s="1"/>
      <c r="B9" s="40" t="s">
        <v>32</v>
      </c>
      <c r="C9" s="92" t="s">
        <v>16</v>
      </c>
      <c r="D9" s="94"/>
      <c r="E9" s="92" t="s">
        <v>47</v>
      </c>
      <c r="F9" s="94"/>
      <c r="G9" s="1"/>
    </row>
    <row r="10" spans="1:7" x14ac:dyDescent="0.4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EdSzrcyly2tmsySszIjSVoo1M0/x/m4KB+hdx2aex7IvVQ2LlDBwSTHaWOuNygrFaBegTYBgH4j87V6oMVnO6A==" saltValue="yS3pVR9eVcl8L1gb+3KMq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209</v>
      </c>
      <c r="C3" s="82"/>
      <c r="D3" s="82"/>
      <c r="E3" s="82"/>
      <c r="F3" s="82"/>
      <c r="G3" s="1"/>
    </row>
    <row r="4" spans="1:7" ht="25.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4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157</v>
      </c>
      <c r="C15" s="96"/>
      <c r="D15" s="96"/>
      <c r="E15" s="96"/>
      <c r="F15" s="97"/>
      <c r="G15" s="1"/>
    </row>
    <row r="16" spans="1:7" x14ac:dyDescent="0.4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4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155</v>
      </c>
      <c r="C22" s="96"/>
      <c r="D22" s="96"/>
      <c r="E22" s="96"/>
      <c r="F22" s="97"/>
      <c r="G22" s="1"/>
    </row>
    <row r="23" spans="1:7" x14ac:dyDescent="0.4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4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158</v>
      </c>
      <c r="C29" s="96"/>
      <c r="D29" s="96"/>
      <c r="E29" s="96"/>
      <c r="F29" s="97"/>
      <c r="G29" s="1"/>
    </row>
    <row r="30" spans="1:7" x14ac:dyDescent="0.4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4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</sheetData>
  <sheetProtection algorithmName="SHA-512" hashValue="pKYOLXKmsPQLec68QiQjCz8CkHLUDdz+WmevgvR/u+FZqQNRcU3of0gU2OWeMbbYd+I/5QexzfrEKka3TfPAzA==" saltValue="aFf0riRq20p6rwHGNcyj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15.1328125" style="2" customWidth="1"/>
    <col min="5" max="5" width="9.1328125" style="2"/>
    <col min="6" max="6" width="14.1328125" style="2" customWidth="1"/>
    <col min="7" max="7" width="10.265625" style="2" customWidth="1"/>
    <col min="8" max="8" width="3.1328125" style="2" customWidth="1"/>
    <col min="9" max="9" width="9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</v>
      </c>
      <c r="C9" s="99"/>
      <c r="D9" s="99"/>
      <c r="E9" s="99"/>
      <c r="F9" s="100"/>
      <c r="G9" s="9">
        <v>8307459</v>
      </c>
      <c r="H9" s="14" t="s">
        <v>3</v>
      </c>
      <c r="I9" s="1"/>
    </row>
    <row r="10" spans="1:9" x14ac:dyDescent="0.4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45">
      <c r="A11" s="1"/>
      <c r="B11" s="98" t="s">
        <v>80</v>
      </c>
      <c r="C11" s="99"/>
      <c r="D11" s="99"/>
      <c r="E11" s="99"/>
      <c r="F11" s="100"/>
      <c r="G11" s="9">
        <v>-7413039</v>
      </c>
      <c r="H11" s="14" t="s">
        <v>3</v>
      </c>
      <c r="I11" s="1"/>
    </row>
    <row r="12" spans="1:9" x14ac:dyDescent="0.45">
      <c r="A12" s="1"/>
      <c r="B12" s="112" t="s">
        <v>15</v>
      </c>
      <c r="C12" s="113"/>
      <c r="D12" s="113"/>
      <c r="E12" s="113"/>
      <c r="F12" s="114"/>
      <c r="G12" s="19">
        <f>(G9+G10)+G11</f>
        <v>894420</v>
      </c>
      <c r="H12" s="18" t="s">
        <v>3</v>
      </c>
      <c r="I12" s="1"/>
    </row>
    <row r="13" spans="1:9" x14ac:dyDescent="0.4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45">
      <c r="A14" s="1"/>
      <c r="B14" s="95" t="s">
        <v>136</v>
      </c>
      <c r="C14" s="96"/>
      <c r="D14" s="96"/>
      <c r="E14" s="96"/>
      <c r="F14" s="97"/>
      <c r="G14" s="12">
        <f>IF(G13 = 0,0,-G12/G13)</f>
        <v>-894420</v>
      </c>
      <c r="H14" s="13" t="s">
        <v>3</v>
      </c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l+JA2EHg+WiFVd3GdDQDFDGPGOC+10IrLb3qgLTNYWo9KTUKAzMJ/5wmjej7uJVdessDwcmW4uapfHo5c28xw==" saltValue="kgIijD8aSh/1qt15RJWw/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2" t="s">
        <v>54</v>
      </c>
      <c r="C3" s="82"/>
      <c r="D3" s="1"/>
    </row>
    <row r="4" spans="1:4" ht="25.5" customHeight="1" x14ac:dyDescent="0.45">
      <c r="A4" s="1"/>
      <c r="B4" s="82"/>
      <c r="C4" s="8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6" t="s">
        <v>21</v>
      </c>
      <c r="C8" s="22"/>
      <c r="D8" s="1"/>
    </row>
    <row r="9" spans="1:4" x14ac:dyDescent="0.45">
      <c r="A9" s="1"/>
      <c r="B9" s="48" t="s">
        <v>211</v>
      </c>
      <c r="C9" s="28">
        <v>1.2699999999999999E-2</v>
      </c>
      <c r="D9" s="1"/>
    </row>
    <row r="10" spans="1:4" x14ac:dyDescent="0.45">
      <c r="A10" s="1"/>
      <c r="B10" s="48" t="s">
        <v>30</v>
      </c>
      <c r="C10" s="28">
        <v>1.7500000000000002E-2</v>
      </c>
      <c r="D10" s="1"/>
    </row>
    <row r="11" spans="1:4" x14ac:dyDescent="0.45">
      <c r="A11" s="1"/>
      <c r="B11" s="48" t="s">
        <v>212</v>
      </c>
      <c r="C11" s="28">
        <v>1.6899999999999998E-2</v>
      </c>
      <c r="D11" s="1"/>
    </row>
    <row r="12" spans="1:4" x14ac:dyDescent="0.45">
      <c r="A12" s="1"/>
      <c r="B12" s="35" t="s">
        <v>73</v>
      </c>
      <c r="C12" s="36">
        <v>1.9699999999999999E-2</v>
      </c>
      <c r="D12" s="1"/>
    </row>
    <row r="13" spans="1:4" x14ac:dyDescent="0.45">
      <c r="A13" s="1"/>
      <c r="B13" s="95"/>
      <c r="C13" s="97"/>
      <c r="D13" s="1"/>
    </row>
    <row r="14" spans="1:4" x14ac:dyDescent="0.45">
      <c r="A14" s="1"/>
      <c r="B14" s="1"/>
      <c r="C14" s="1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46" t="s">
        <v>181</v>
      </c>
      <c r="C16" s="22"/>
      <c r="D16" s="1"/>
    </row>
    <row r="17" spans="1:4" x14ac:dyDescent="0.45">
      <c r="A17" s="1"/>
      <c r="B17" s="48" t="s">
        <v>213</v>
      </c>
      <c r="C17" s="25">
        <v>9.1000000000000004E-3</v>
      </c>
      <c r="D17" s="1"/>
    </row>
    <row r="18" spans="1:4" x14ac:dyDescent="0.45">
      <c r="A18" s="1"/>
      <c r="B18" s="48" t="s">
        <v>214</v>
      </c>
      <c r="C18" s="25">
        <v>1.77E-2</v>
      </c>
      <c r="D18" s="1"/>
    </row>
    <row r="19" spans="1:4" x14ac:dyDescent="0.45">
      <c r="A19" s="1"/>
      <c r="B19" s="48" t="s">
        <v>215</v>
      </c>
      <c r="C19" s="25">
        <v>8.6999999999999994E-3</v>
      </c>
      <c r="D19" s="1"/>
    </row>
    <row r="20" spans="1:4" x14ac:dyDescent="0.45">
      <c r="A20" s="1"/>
      <c r="B20" s="48" t="s">
        <v>216</v>
      </c>
      <c r="C20" s="37">
        <v>2.8400000000000002E-2</v>
      </c>
      <c r="D20" s="1"/>
    </row>
    <row r="21" spans="1:4" x14ac:dyDescent="0.45">
      <c r="A21" s="1"/>
      <c r="B21" s="46"/>
      <c r="C21" s="22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46" t="s">
        <v>182</v>
      </c>
      <c r="C24" s="22"/>
      <c r="D24" s="1"/>
    </row>
    <row r="25" spans="1:4" x14ac:dyDescent="0.45">
      <c r="A25" s="1"/>
      <c r="B25" s="48" t="s">
        <v>217</v>
      </c>
      <c r="C25" s="28">
        <v>0.02</v>
      </c>
      <c r="D25" s="1"/>
    </row>
    <row r="26" spans="1:4" x14ac:dyDescent="0.45">
      <c r="A26" s="1"/>
      <c r="B26" s="46"/>
      <c r="C26" s="22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9Mg/BMvRTgRq+3aVuiXFEjuzin54GhBv2KEWVABhDLmRwKuuBsR4ldpzNpvqMqlvuIjpdFVW2Wpy0thBv54CvQ==" saltValue="Xbyy3nmfblc7UDrDdw4OnQ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65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6" t="s">
        <v>20</v>
      </c>
      <c r="C8" s="47"/>
      <c r="D8" s="22"/>
      <c r="E8" s="1"/>
    </row>
    <row r="9" spans="1:5" x14ac:dyDescent="0.45">
      <c r="A9" s="1"/>
      <c r="B9" s="45" t="s">
        <v>34</v>
      </c>
      <c r="C9" s="7">
        <f>'Fane 3. Omkostninger i ØR2019'!E22</f>
        <v>10342930.408047536</v>
      </c>
      <c r="D9" s="8" t="s">
        <v>3</v>
      </c>
      <c r="E9" s="1"/>
    </row>
    <row r="10" spans="1:5" ht="17.100000000000001" customHeight="1" x14ac:dyDescent="0.4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32" t="s">
        <v>68</v>
      </c>
      <c r="C11" s="9">
        <f>'Fane 10.1. Varige tillæg'!E12</f>
        <v>427623.22746000002</v>
      </c>
      <c r="D11" s="8" t="s">
        <v>3</v>
      </c>
      <c r="E11" s="1"/>
    </row>
    <row r="12" spans="1:5" ht="17.100000000000001" customHeight="1" x14ac:dyDescent="0.4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4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45">
      <c r="A16" s="1"/>
      <c r="B16" s="32" t="s">
        <v>26</v>
      </c>
      <c r="C16" s="9">
        <f>C9*'Fane 14. Nøgletal'!C11+SUM(C10:C15)*'Fane 14. Nøgletal'!C12</f>
        <v>183219.70147696533</v>
      </c>
      <c r="D16" s="8" t="s">
        <v>3</v>
      </c>
      <c r="E16" s="1"/>
    </row>
    <row r="17" spans="1:5" ht="17.100000000000001" customHeight="1" x14ac:dyDescent="0.45">
      <c r="A17" s="1"/>
      <c r="B17" s="32" t="s">
        <v>10</v>
      </c>
      <c r="C17" s="9">
        <f>-SUM(C9:C16)*'Fane 5. Individuelt eff. krav'!G10</f>
        <v>-219075.46673969005</v>
      </c>
      <c r="D17" s="8" t="s">
        <v>3</v>
      </c>
      <c r="E17" s="1"/>
    </row>
    <row r="18" spans="1:5" ht="17.100000000000001" customHeight="1" x14ac:dyDescent="0.45">
      <c r="A18" s="1"/>
      <c r="B18" s="32" t="s">
        <v>38</v>
      </c>
      <c r="C18" s="9">
        <f>-'Fane 4.1. Gen. krav - drift'!G26</f>
        <v>-136061.60029853269</v>
      </c>
      <c r="D18" s="8" t="s">
        <v>3</v>
      </c>
      <c r="E18" s="1"/>
    </row>
    <row r="19" spans="1:5" ht="17.100000000000001" customHeight="1" x14ac:dyDescent="0.45">
      <c r="A19" s="1"/>
      <c r="B19" s="32" t="s">
        <v>39</v>
      </c>
      <c r="C19" s="9">
        <f>-'Fane 4.2. Gen. krav - anlæg'!G25</f>
        <v>-50516.040781115669</v>
      </c>
      <c r="D19" s="8" t="s">
        <v>3</v>
      </c>
      <c r="E19" s="1"/>
    </row>
    <row r="20" spans="1:5" ht="17.100000000000001" customHeight="1" x14ac:dyDescent="0.45">
      <c r="A20" s="1"/>
      <c r="B20" s="50" t="s">
        <v>28</v>
      </c>
      <c r="C20" s="10">
        <f>SUM(C9:C19)</f>
        <v>10548120.229165163</v>
      </c>
      <c r="D20" s="11" t="s">
        <v>3</v>
      </c>
      <c r="E20" s="1"/>
    </row>
    <row r="21" spans="1:5" ht="15" customHeight="1" x14ac:dyDescent="0.45">
      <c r="A21" s="1"/>
      <c r="B21" s="46" t="s">
        <v>17</v>
      </c>
      <c r="C21" s="47"/>
      <c r="D21" s="22"/>
      <c r="E21" s="1"/>
    </row>
    <row r="22" spans="1:5" ht="15" customHeight="1" x14ac:dyDescent="0.45">
      <c r="A22" s="1"/>
      <c r="B22" s="40" t="s">
        <v>17</v>
      </c>
      <c r="C22" s="10">
        <f>'Fane 6. Ikke-påvirkelige omk.'!C17</f>
        <v>18835648.953236282</v>
      </c>
      <c r="D22" s="11" t="s">
        <v>3</v>
      </c>
      <c r="E22" s="1"/>
    </row>
    <row r="23" spans="1:5" ht="15" customHeight="1" x14ac:dyDescent="0.45">
      <c r="A23" s="1"/>
      <c r="B23" s="46" t="s">
        <v>142</v>
      </c>
      <c r="C23" s="47"/>
      <c r="D23" s="22"/>
      <c r="E23" s="1"/>
    </row>
    <row r="24" spans="1:5" ht="15" customHeight="1" x14ac:dyDescent="0.4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4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4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45">
      <c r="A27" s="1"/>
      <c r="B27" s="46" t="s">
        <v>11</v>
      </c>
      <c r="C27" s="47"/>
      <c r="D27" s="22"/>
      <c r="E27" s="1"/>
    </row>
    <row r="28" spans="1:5" ht="15" customHeight="1" x14ac:dyDescent="0.45">
      <c r="A28" s="1"/>
      <c r="B28" s="40" t="s">
        <v>19</v>
      </c>
      <c r="C28" s="10">
        <f>'Fane 13. Hist. over-underdæk.'!G14</f>
        <v>-894420</v>
      </c>
      <c r="D28" s="11" t="s">
        <v>3</v>
      </c>
      <c r="E28" s="1"/>
    </row>
    <row r="29" spans="1:5" ht="15" customHeight="1" x14ac:dyDescent="0.45">
      <c r="A29" s="1"/>
      <c r="B29" s="46" t="s">
        <v>53</v>
      </c>
      <c r="C29" s="47"/>
      <c r="D29" s="22"/>
      <c r="E29" s="1"/>
    </row>
    <row r="30" spans="1:5" x14ac:dyDescent="0.45">
      <c r="A30" s="1"/>
      <c r="B30" s="40" t="s">
        <v>218</v>
      </c>
      <c r="C30" s="10">
        <f>'Fane 7. Kontrol af ØR2018'!E32</f>
        <v>-88085.091354736127</v>
      </c>
      <c r="D30" s="11" t="s">
        <v>3</v>
      </c>
      <c r="E30" s="1"/>
    </row>
    <row r="31" spans="1:5" x14ac:dyDescent="0.45">
      <c r="A31" s="1"/>
      <c r="B31" s="46" t="s">
        <v>225</v>
      </c>
      <c r="C31" s="47"/>
      <c r="D31" s="22"/>
      <c r="E31" s="1"/>
    </row>
    <row r="32" spans="1:5" x14ac:dyDescent="0.45">
      <c r="A32" s="1"/>
      <c r="B32" s="40" t="s">
        <v>226</v>
      </c>
      <c r="C32" s="10">
        <f>'Fane 8. Korrektioner'!E10</f>
        <v>8485.5276286247135</v>
      </c>
      <c r="D32" s="11" t="s">
        <v>3</v>
      </c>
      <c r="E32" s="1"/>
    </row>
    <row r="33" spans="1:5" x14ac:dyDescent="0.45">
      <c r="A33" s="1"/>
      <c r="B33" s="46" t="s">
        <v>35</v>
      </c>
      <c r="C33" s="33">
        <f>SUM(C20,C22,C26,C28,C30,C32)</f>
        <v>28409749.618675333</v>
      </c>
      <c r="D33" s="22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l5tNghdVv1sIC0XcCwQIeCfNZZRWI+PWI+grIUJTF68OsGl/68VWcL72yG8sewABPu62YDZYiRvhJkNoIZHlew==" saltValue="O/dO6GICAIuZAjRZhM34o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85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6" t="s">
        <v>20</v>
      </c>
      <c r="C8" s="47"/>
      <c r="D8" s="22"/>
      <c r="E8" s="1"/>
    </row>
    <row r="9" spans="1:5" ht="15" customHeight="1" x14ac:dyDescent="0.45">
      <c r="A9" s="1"/>
      <c r="B9" s="45" t="s">
        <v>36</v>
      </c>
      <c r="C9" s="7">
        <f>'Fane 2.1. Økonomisk ramme 2020'!C20</f>
        <v>10548120.229165163</v>
      </c>
      <c r="D9" s="8" t="s">
        <v>3</v>
      </c>
      <c r="E9" s="1"/>
    </row>
    <row r="10" spans="1:5" ht="15" customHeight="1" x14ac:dyDescent="0.4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4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45">
      <c r="A12" s="1"/>
      <c r="B12" s="38" t="s">
        <v>26</v>
      </c>
      <c r="C12" s="9">
        <f>SUM(C9:C11)*'Fane 14. Nøgletal'!C12</f>
        <v>207797.96851455371</v>
      </c>
      <c r="D12" s="8" t="s">
        <v>3</v>
      </c>
      <c r="E12" s="1"/>
    </row>
    <row r="13" spans="1:5" ht="15" customHeight="1" x14ac:dyDescent="0.45">
      <c r="A13" s="1"/>
      <c r="B13" s="38" t="s">
        <v>10</v>
      </c>
      <c r="C13" s="9">
        <f>-SUM(C9:C12)*'Fane 5. Individuelt eff. krav'!G10</f>
        <v>-215118.36395359435</v>
      </c>
      <c r="D13" s="8" t="s">
        <v>3</v>
      </c>
      <c r="E13" s="1"/>
    </row>
    <row r="14" spans="1:5" ht="15" customHeight="1" x14ac:dyDescent="0.45">
      <c r="A14" s="1"/>
      <c r="B14" s="38" t="s">
        <v>38</v>
      </c>
      <c r="C14" s="9">
        <f>-'Fane 4.1. Gen. krav - drift'!G32</f>
        <v>-135967.17354792551</v>
      </c>
      <c r="D14" s="8" t="s">
        <v>3</v>
      </c>
      <c r="E14" s="1"/>
    </row>
    <row r="15" spans="1:5" ht="15" customHeight="1" x14ac:dyDescent="0.45">
      <c r="A15" s="1"/>
      <c r="B15" s="38" t="s">
        <v>39</v>
      </c>
      <c r="C15" s="9">
        <f>-'Fane 4.2. Gen. krav - anlæg'!G31</f>
        <v>-138094.8360267214</v>
      </c>
      <c r="D15" s="8" t="s">
        <v>3</v>
      </c>
      <c r="E15" s="1"/>
    </row>
    <row r="16" spans="1:5" ht="15" customHeight="1" x14ac:dyDescent="0.45">
      <c r="A16" s="1"/>
      <c r="B16" s="39" t="s">
        <v>28</v>
      </c>
      <c r="C16" s="10">
        <f>SUM(C9:C15)</f>
        <v>10266737.824151477</v>
      </c>
      <c r="D16" s="11" t="s">
        <v>3</v>
      </c>
      <c r="E16" s="1"/>
    </row>
    <row r="17" spans="1:5" x14ac:dyDescent="0.45">
      <c r="A17" s="1"/>
      <c r="B17" s="46" t="s">
        <v>17</v>
      </c>
      <c r="C17" s="47"/>
      <c r="D17" s="22"/>
      <c r="E17" s="1"/>
    </row>
    <row r="18" spans="1:5" ht="15" customHeight="1" x14ac:dyDescent="0.45">
      <c r="A18" s="1"/>
      <c r="B18" s="40" t="s">
        <v>17</v>
      </c>
      <c r="C18" s="10">
        <f>'Fane 6. Ikke-påvirkelige omk.'!C17*(1+'Fane 14. Nøgletal'!C12)</f>
        <v>19206711.237615038</v>
      </c>
      <c r="D18" s="11" t="s">
        <v>3</v>
      </c>
      <c r="E18" s="1"/>
    </row>
    <row r="19" spans="1:5" ht="15" customHeight="1" x14ac:dyDescent="0.45">
      <c r="A19" s="1"/>
      <c r="B19" s="46" t="s">
        <v>142</v>
      </c>
      <c r="C19" s="47"/>
      <c r="D19" s="22"/>
      <c r="E19" s="1"/>
    </row>
    <row r="20" spans="1:5" ht="15" customHeight="1" x14ac:dyDescent="0.4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4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46" t="s">
        <v>160</v>
      </c>
      <c r="C23" s="47"/>
      <c r="D23" s="22"/>
      <c r="E23" s="1"/>
    </row>
    <row r="24" spans="1:5" ht="15" customHeight="1" x14ac:dyDescent="0.45">
      <c r="A24" s="1"/>
      <c r="B24" s="40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45">
      <c r="A25" s="1"/>
      <c r="B25" s="46" t="s">
        <v>44</v>
      </c>
      <c r="C25" s="12">
        <f>SUM(C16,C18,C22,C24)</f>
        <v>29473449.061766513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CykSfZzbKCCyNlUyH41aOEyhnEsQ37A9A6yOluqnp1/Zh7dlZ7YaIHCaBy/WHMUWJhk9rqKb5Hc+WfUu8xZ/bQ==" saltValue="DirFmSS5pKWYWhIUb8YTi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6" t="s">
        <v>20</v>
      </c>
      <c r="C7" s="47"/>
      <c r="D7" s="22"/>
      <c r="E7" s="1"/>
    </row>
    <row r="8" spans="1:5" ht="15" customHeight="1" x14ac:dyDescent="0.45">
      <c r="A8" s="1"/>
      <c r="B8" s="45" t="s">
        <v>36</v>
      </c>
      <c r="C8" s="7">
        <f>'Fane 2.2. Økonomisk ramme 2021'!C16</f>
        <v>10266737.824151477</v>
      </c>
      <c r="D8" s="8" t="s">
        <v>3</v>
      </c>
      <c r="E8" s="1"/>
    </row>
    <row r="9" spans="1:5" ht="15" customHeight="1" x14ac:dyDescent="0.4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4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SUM(C8:C10)*'Fane 14. Nøgletal'!C12</f>
        <v>202254.73513578408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-209379.85118574524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drift'!G38</f>
        <v>-135872.81232948328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anlæg'!G37</f>
        <v>-136816.14965442871</v>
      </c>
      <c r="D14" s="8" t="s">
        <v>3</v>
      </c>
      <c r="E14" s="1"/>
    </row>
    <row r="15" spans="1:5" x14ac:dyDescent="0.45">
      <c r="A15" s="1"/>
      <c r="B15" s="39" t="s">
        <v>28</v>
      </c>
      <c r="C15" s="10">
        <f>SUM(C8:C14)</f>
        <v>9986923.746117603</v>
      </c>
      <c r="D15" s="11" t="s">
        <v>3</v>
      </c>
      <c r="E15" s="1"/>
    </row>
    <row r="16" spans="1:5" x14ac:dyDescent="0.45">
      <c r="A16" s="1"/>
      <c r="B16" s="46" t="s">
        <v>17</v>
      </c>
      <c r="C16" s="47"/>
      <c r="D16" s="22"/>
      <c r="E16" s="1"/>
    </row>
    <row r="17" spans="1:5" ht="15" customHeight="1" x14ac:dyDescent="0.45">
      <c r="A17" s="1"/>
      <c r="B17" s="40" t="s">
        <v>17</v>
      </c>
      <c r="C17" s="10">
        <f>'Fane 6. Ikke-påvirkelige omk.'!C17*(1+'Fane 14. Nøgletal'!C12)^2</f>
        <v>19585083.448996052</v>
      </c>
      <c r="D17" s="11" t="s">
        <v>3</v>
      </c>
      <c r="E17" s="1"/>
    </row>
    <row r="18" spans="1:5" ht="15" customHeight="1" x14ac:dyDescent="0.45">
      <c r="A18" s="1"/>
      <c r="B18" s="46" t="s">
        <v>142</v>
      </c>
      <c r="C18" s="47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6" t="s">
        <v>160</v>
      </c>
      <c r="C22" s="47"/>
      <c r="D22" s="22"/>
      <c r="E22" s="1"/>
    </row>
    <row r="23" spans="1:5" ht="15" customHeight="1" x14ac:dyDescent="0.45">
      <c r="A23" s="1"/>
      <c r="B23" s="40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45">
      <c r="A24" s="1"/>
      <c r="B24" s="46" t="s">
        <v>45</v>
      </c>
      <c r="C24" s="12">
        <f>SUM(C15,C17,C21,C23)</f>
        <v>29572007.195113655</v>
      </c>
      <c r="D24" s="13" t="s">
        <v>3</v>
      </c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+l5RHEcLyLEa8RmkP47fpog1H28iJ4C/kkC58ZHZNeLUUcKkJuaMEmoVIBGts4Q59OR+tU/fs2OKkHNihsUs0w==" saltValue="GZy6qwgSUSt+kHmGomRuY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6" t="s">
        <v>20</v>
      </c>
      <c r="C7" s="47"/>
      <c r="D7" s="22"/>
      <c r="E7" s="1"/>
    </row>
    <row r="8" spans="1:5" ht="15" customHeight="1" x14ac:dyDescent="0.45">
      <c r="A8" s="1"/>
      <c r="B8" s="45" t="s">
        <v>37</v>
      </c>
      <c r="C8" s="7">
        <f>'Fane 2.3. Økonomisk ramme 2022'!C15</f>
        <v>9986923.746117603</v>
      </c>
      <c r="D8" s="8" t="s">
        <v>3</v>
      </c>
      <c r="E8" s="1"/>
    </row>
    <row r="9" spans="1:5" ht="15" customHeight="1" x14ac:dyDescent="0.4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4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C8*'Fane 14. Nøgletal'!C12</f>
        <v>196742.39779851676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-203673.32287832239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drift'!G44</f>
        <v>-135778.51659772662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anlæg'!G43</f>
        <v>-135549.3032530265</v>
      </c>
      <c r="D14" s="8" t="s">
        <v>3</v>
      </c>
      <c r="E14" s="1"/>
    </row>
    <row r="15" spans="1:5" x14ac:dyDescent="0.45">
      <c r="A15" s="1"/>
      <c r="B15" s="39" t="s">
        <v>28</v>
      </c>
      <c r="C15" s="10">
        <f>SUM(C8:C14)</f>
        <v>9708665.0011870433</v>
      </c>
      <c r="D15" s="11" t="s">
        <v>3</v>
      </c>
      <c r="E15" s="1"/>
    </row>
    <row r="16" spans="1:5" x14ac:dyDescent="0.45">
      <c r="A16" s="1"/>
      <c r="B16" s="46" t="s">
        <v>17</v>
      </c>
      <c r="C16" s="47"/>
      <c r="D16" s="22"/>
      <c r="E16" s="1"/>
    </row>
    <row r="17" spans="1:5" ht="15" customHeight="1" x14ac:dyDescent="0.45">
      <c r="A17" s="1"/>
      <c r="B17" s="40" t="s">
        <v>17</v>
      </c>
      <c r="C17" s="10">
        <f>'Fane 6. Ikke-påvirkelige omk.'!C17*(1+'Fane 14. Nøgletal'!C12)^3</f>
        <v>19970909.592941277</v>
      </c>
      <c r="D17" s="11" t="s">
        <v>3</v>
      </c>
      <c r="E17" s="1"/>
    </row>
    <row r="18" spans="1:5" ht="15" customHeight="1" x14ac:dyDescent="0.45">
      <c r="A18" s="1"/>
      <c r="B18" s="46" t="s">
        <v>142</v>
      </c>
      <c r="C18" s="47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6" t="s">
        <v>154</v>
      </c>
      <c r="C22" s="12">
        <f>SUM(C15,C17,C21)</f>
        <v>29679574.594128318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y328LMi4dJOoQrANt1oBFq+AiSNT0zG5I11pCOnCv+jO3lJoYik05mf5fAzxnAOGFzkSsOfCfhlKGRzvsrEDng==" saltValue="GCfETNjtcepA8wj6X9lpr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2" t="s">
        <v>221</v>
      </c>
      <c r="C3" s="82"/>
      <c r="D3" s="82"/>
      <c r="E3" s="82"/>
      <c r="F3" s="82"/>
      <c r="G3" s="1"/>
    </row>
    <row r="4" spans="1:7" ht="29.25" customHeight="1" x14ac:dyDescent="0.45">
      <c r="A4" s="1"/>
      <c r="B4" s="82"/>
      <c r="C4" s="82"/>
      <c r="D4" s="82"/>
      <c r="E4" s="82"/>
      <c r="F4" s="8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84</v>
      </c>
      <c r="C8" s="47"/>
      <c r="D8" s="47"/>
      <c r="E8" s="47"/>
      <c r="F8" s="22"/>
      <c r="G8" s="1"/>
    </row>
    <row r="9" spans="1:7" x14ac:dyDescent="0.45">
      <c r="A9" s="1"/>
      <c r="B9" s="83" t="s">
        <v>81</v>
      </c>
      <c r="C9" s="84"/>
      <c r="D9" s="85"/>
      <c r="E9" s="7">
        <v>10653859.213483021</v>
      </c>
      <c r="F9" s="8" t="s">
        <v>3</v>
      </c>
      <c r="G9" s="1"/>
    </row>
    <row r="10" spans="1:7" x14ac:dyDescent="0.45">
      <c r="A10" s="1"/>
      <c r="B10" s="83" t="s">
        <v>82</v>
      </c>
      <c r="C10" s="84"/>
      <c r="D10" s="85"/>
      <c r="E10" s="7">
        <v>-10259.013344060248</v>
      </c>
      <c r="F10" s="8" t="s">
        <v>3</v>
      </c>
      <c r="G10" s="1"/>
    </row>
    <row r="11" spans="1:7" x14ac:dyDescent="0.45">
      <c r="A11" s="1"/>
      <c r="B11" s="83" t="s">
        <v>83</v>
      </c>
      <c r="C11" s="84"/>
      <c r="D11" s="85"/>
      <c r="E11" s="7">
        <v>-157947.71534006091</v>
      </c>
      <c r="F11" s="8" t="s">
        <v>3</v>
      </c>
      <c r="G11" s="1"/>
    </row>
    <row r="12" spans="1:7" x14ac:dyDescent="0.45">
      <c r="A12" s="1"/>
      <c r="B12" s="74" t="s">
        <v>67</v>
      </c>
      <c r="C12" s="75"/>
      <c r="D12" s="76"/>
      <c r="E12" s="7">
        <v>0</v>
      </c>
      <c r="F12" s="8" t="s">
        <v>3</v>
      </c>
      <c r="G12" s="1"/>
    </row>
    <row r="13" spans="1:7" x14ac:dyDescent="0.45">
      <c r="A13" s="1"/>
      <c r="B13" s="74" t="s">
        <v>68</v>
      </c>
      <c r="C13" s="75"/>
      <c r="D13" s="76"/>
      <c r="E13" s="9">
        <v>67919.767899999992</v>
      </c>
      <c r="F13" s="8" t="s">
        <v>3</v>
      </c>
      <c r="G13" s="1"/>
    </row>
    <row r="14" spans="1:7" x14ac:dyDescent="0.45">
      <c r="A14" s="1"/>
      <c r="B14" s="74" t="s">
        <v>41</v>
      </c>
      <c r="C14" s="75"/>
      <c r="D14" s="76"/>
      <c r="E14" s="9">
        <v>0</v>
      </c>
      <c r="F14" s="8" t="s">
        <v>3</v>
      </c>
      <c r="G14" s="1"/>
    </row>
    <row r="15" spans="1:7" x14ac:dyDescent="0.45">
      <c r="A15" s="1"/>
      <c r="B15" s="74" t="s">
        <v>40</v>
      </c>
      <c r="C15" s="75"/>
      <c r="D15" s="76"/>
      <c r="E15" s="9">
        <v>0</v>
      </c>
      <c r="F15" s="8" t="s">
        <v>3</v>
      </c>
      <c r="G15" s="1"/>
    </row>
    <row r="16" spans="1:7" x14ac:dyDescent="0.45">
      <c r="A16" s="1"/>
      <c r="B16" s="74" t="s">
        <v>43</v>
      </c>
      <c r="C16" s="75"/>
      <c r="D16" s="76"/>
      <c r="E16" s="9">
        <v>0</v>
      </c>
      <c r="F16" s="8" t="s">
        <v>3</v>
      </c>
      <c r="G16" s="1"/>
    </row>
    <row r="17" spans="1:7" x14ac:dyDescent="0.45">
      <c r="A17" s="1"/>
      <c r="B17" s="74" t="s">
        <v>42</v>
      </c>
      <c r="C17" s="75"/>
      <c r="D17" s="76"/>
      <c r="E17" s="9">
        <v>0</v>
      </c>
      <c r="F17" s="8" t="s">
        <v>3</v>
      </c>
      <c r="G17" s="1"/>
    </row>
    <row r="18" spans="1:7" x14ac:dyDescent="0.45">
      <c r="A18" s="1"/>
      <c r="B18" s="74" t="s">
        <v>26</v>
      </c>
      <c r="C18" s="75"/>
      <c r="D18" s="76"/>
      <c r="E18" s="9">
        <f>SUM(E9:E17)*'Fane 14. Nøgletal'!C11</f>
        <v>178355.37107061138</v>
      </c>
      <c r="F18" s="8" t="s">
        <v>3</v>
      </c>
      <c r="G18" s="1"/>
    </row>
    <row r="19" spans="1:7" x14ac:dyDescent="0.45">
      <c r="A19" s="1"/>
      <c r="B19" s="74" t="s">
        <v>10</v>
      </c>
      <c r="C19" s="75"/>
      <c r="D19" s="76"/>
      <c r="E19" s="9">
        <f>-SUM(E9:E18)*'Fane 5. Individuelt eff. krav'!G10</f>
        <v>-214638.55247539023</v>
      </c>
      <c r="F19" s="8" t="s">
        <v>3</v>
      </c>
      <c r="G19" s="1"/>
    </row>
    <row r="20" spans="1:7" x14ac:dyDescent="0.45">
      <c r="A20" s="1"/>
      <c r="B20" s="74" t="s">
        <v>38</v>
      </c>
      <c r="C20" s="75"/>
      <c r="D20" s="76"/>
      <c r="E20" s="9">
        <f>-'Fane 4.1. Gen. krav - drift'!G20</f>
        <v>-136530.99385540761</v>
      </c>
      <c r="F20" s="8" t="s">
        <v>3</v>
      </c>
      <c r="G20" s="1"/>
    </row>
    <row r="21" spans="1:7" x14ac:dyDescent="0.45">
      <c r="A21" s="1"/>
      <c r="B21" s="74" t="s">
        <v>39</v>
      </c>
      <c r="C21" s="75"/>
      <c r="D21" s="76"/>
      <c r="E21" s="9">
        <f>-'Fane 4.2. Gen. krav - anlæg'!G19</f>
        <v>-37827.669391175303</v>
      </c>
      <c r="F21" s="8" t="s">
        <v>3</v>
      </c>
      <c r="G21" s="1"/>
    </row>
    <row r="22" spans="1:7" x14ac:dyDescent="0.45">
      <c r="A22" s="1"/>
      <c r="B22" s="89" t="s">
        <v>28</v>
      </c>
      <c r="C22" s="90"/>
      <c r="D22" s="91"/>
      <c r="E22" s="10">
        <f>SUM(E9:E21)</f>
        <v>10342930.408047536</v>
      </c>
      <c r="F22" s="11" t="s">
        <v>3</v>
      </c>
      <c r="G22" s="1"/>
    </row>
    <row r="23" spans="1:7" x14ac:dyDescent="0.45">
      <c r="A23" s="1"/>
      <c r="B23" s="77" t="s">
        <v>17</v>
      </c>
      <c r="C23" s="78"/>
      <c r="D23" s="78"/>
      <c r="E23" s="47"/>
      <c r="F23" s="22"/>
      <c r="G23" s="1"/>
    </row>
    <row r="24" spans="1:7" x14ac:dyDescent="0.45">
      <c r="A24" s="1"/>
      <c r="B24" s="79" t="s">
        <v>17</v>
      </c>
      <c r="C24" s="80"/>
      <c r="D24" s="81"/>
      <c r="E24" s="10">
        <v>16955632.884911396</v>
      </c>
      <c r="F24" s="11" t="s">
        <v>3</v>
      </c>
      <c r="G24" s="1"/>
    </row>
    <row r="25" spans="1:7" x14ac:dyDescent="0.4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45">
      <c r="A26" s="1"/>
      <c r="B26" s="92" t="s">
        <v>132</v>
      </c>
      <c r="C26" s="93"/>
      <c r="D26" s="94"/>
      <c r="E26" s="10">
        <v>76964.606039831095</v>
      </c>
      <c r="F26" s="11" t="s">
        <v>3</v>
      </c>
      <c r="G26" s="1"/>
    </row>
    <row r="27" spans="1:7" x14ac:dyDescent="0.45">
      <c r="A27" s="1"/>
      <c r="B27" s="46" t="s">
        <v>11</v>
      </c>
      <c r="C27" s="47"/>
      <c r="D27" s="47"/>
      <c r="E27" s="47"/>
      <c r="F27" s="22"/>
      <c r="G27" s="1"/>
    </row>
    <row r="28" spans="1:7" x14ac:dyDescent="0.45">
      <c r="A28" s="1"/>
      <c r="B28" s="79" t="s">
        <v>19</v>
      </c>
      <c r="C28" s="80"/>
      <c r="D28" s="81"/>
      <c r="E28" s="10">
        <v>-894420</v>
      </c>
      <c r="F28" s="11" t="s">
        <v>3</v>
      </c>
      <c r="G28" s="1"/>
    </row>
    <row r="29" spans="1:7" x14ac:dyDescent="0.45">
      <c r="A29" s="1"/>
      <c r="B29" s="46" t="s">
        <v>160</v>
      </c>
      <c r="C29" s="47"/>
      <c r="D29" s="47"/>
      <c r="E29" s="47"/>
      <c r="F29" s="22"/>
      <c r="G29" s="1"/>
    </row>
    <row r="30" spans="1:7" x14ac:dyDescent="0.45">
      <c r="A30" s="1"/>
      <c r="B30" s="79" t="s">
        <v>131</v>
      </c>
      <c r="C30" s="80"/>
      <c r="D30" s="81"/>
      <c r="E30" s="10">
        <v>-99107.342626685786</v>
      </c>
      <c r="F30" s="11" t="s">
        <v>3</v>
      </c>
      <c r="G30" s="1"/>
    </row>
    <row r="31" spans="1:7" x14ac:dyDescent="0.45">
      <c r="A31" s="1"/>
      <c r="B31" s="46" t="s">
        <v>23</v>
      </c>
      <c r="C31" s="47"/>
      <c r="D31" s="47"/>
      <c r="E31" s="12">
        <f>SUM(E28,E26,E24,E22,E30)</f>
        <v>26382000.556372076</v>
      </c>
      <c r="F31" s="13" t="s">
        <v>3</v>
      </c>
      <c r="G31" s="1"/>
    </row>
    <row r="32" spans="1:7" ht="28.15" customHeight="1" x14ac:dyDescent="0.45">
      <c r="A32" s="1"/>
      <c r="B32" s="86" t="s">
        <v>189</v>
      </c>
      <c r="C32" s="87"/>
      <c r="D32" s="87"/>
      <c r="E32" s="87"/>
      <c r="F32" s="88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DNURmrecEO1Y7iGchP5s5QoC6VkA5oLbyrqtsIFz2qYhz0y6onr8bU8QC5FwEnmqsUJZIWc8uKYpRJfcHGlcTg==" saltValue="YH+bEk+oQsfQNsyz2n78Lw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4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45">
      <c r="A6" s="1"/>
      <c r="B6" s="98" t="s">
        <v>86</v>
      </c>
      <c r="C6" s="99"/>
      <c r="D6" s="99"/>
      <c r="E6" s="99"/>
      <c r="F6" s="100"/>
      <c r="G6" s="26">
        <v>6912787.9186321767</v>
      </c>
      <c r="H6" s="14" t="s">
        <v>3</v>
      </c>
      <c r="I6" s="1"/>
    </row>
    <row r="7" spans="1:9" x14ac:dyDescent="0.45">
      <c r="A7" s="1"/>
      <c r="B7" s="98" t="s">
        <v>87</v>
      </c>
      <c r="C7" s="99"/>
      <c r="D7" s="99"/>
      <c r="E7" s="99"/>
      <c r="F7" s="100"/>
      <c r="G7" s="26">
        <f>G6*'Fane 14. Nøgletal'!C25</f>
        <v>138255.75837264353</v>
      </c>
      <c r="H7" s="14" t="s">
        <v>3</v>
      </c>
      <c r="I7" s="1"/>
    </row>
    <row r="8" spans="1:9" x14ac:dyDescent="0.4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4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6860568.7186948285</v>
      </c>
      <c r="H11" s="14" t="s">
        <v>3</v>
      </c>
      <c r="I11" s="1"/>
    </row>
    <row r="12" spans="1:9" x14ac:dyDescent="0.4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4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137211.37437389657</v>
      </c>
      <c r="H13" s="14" t="s">
        <v>3</v>
      </c>
      <c r="I13" s="1"/>
    </row>
    <row r="14" spans="1:9" x14ac:dyDescent="0.4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4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6836982.0834399546</v>
      </c>
      <c r="H17" s="14" t="s">
        <v>3</v>
      </c>
      <c r="I17" s="1"/>
    </row>
    <row r="18" spans="1:9" x14ac:dyDescent="0.45">
      <c r="A18" s="1"/>
      <c r="B18" s="98" t="s">
        <v>222</v>
      </c>
      <c r="C18" s="99"/>
      <c r="D18" s="99"/>
      <c r="E18" s="99"/>
      <c r="F18" s="100"/>
      <c r="G18" s="26">
        <v>-10432.390669574865</v>
      </c>
      <c r="H18" s="14" t="s">
        <v>3</v>
      </c>
      <c r="I18" s="1"/>
    </row>
    <row r="19" spans="1:9" x14ac:dyDescent="0.4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4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136530.99385540761</v>
      </c>
      <c r="H20" s="14" t="s">
        <v>3</v>
      </c>
      <c r="I20" s="1"/>
    </row>
    <row r="21" spans="1:9" x14ac:dyDescent="0.4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4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6803080.0149266347</v>
      </c>
      <c r="H24" s="14" t="s">
        <v>3</v>
      </c>
      <c r="I24" s="1"/>
    </row>
    <row r="25" spans="1:9" x14ac:dyDescent="0.4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4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136061.60029853269</v>
      </c>
      <c r="H26" s="14" t="s">
        <v>3</v>
      </c>
      <c r="I26" s="1"/>
    </row>
    <row r="27" spans="1:9" x14ac:dyDescent="0.4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4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6798358.677396276</v>
      </c>
      <c r="H30" s="14" t="s">
        <v>3</v>
      </c>
      <c r="I30" s="1"/>
    </row>
    <row r="31" spans="1:9" x14ac:dyDescent="0.4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4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135967.17354792551</v>
      </c>
      <c r="H32" s="14" t="s">
        <v>3</v>
      </c>
      <c r="I32" s="1"/>
    </row>
    <row r="33" spans="1:9" x14ac:dyDescent="0.4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4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6793640.6164741637</v>
      </c>
      <c r="H36" s="14" t="s">
        <v>3</v>
      </c>
      <c r="I36" s="1"/>
    </row>
    <row r="37" spans="1:9" x14ac:dyDescent="0.4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4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135872.81232948328</v>
      </c>
      <c r="H38" s="14" t="s">
        <v>3</v>
      </c>
      <c r="I38" s="1"/>
    </row>
    <row r="39" spans="1:9" x14ac:dyDescent="0.4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4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6788925.8298863312</v>
      </c>
      <c r="H42" s="14" t="s">
        <v>3</v>
      </c>
      <c r="I42" s="1"/>
    </row>
    <row r="43" spans="1:9" x14ac:dyDescent="0.4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4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135778.51659772662</v>
      </c>
      <c r="H44" s="14" t="s">
        <v>3</v>
      </c>
      <c r="I44" s="1"/>
    </row>
    <row r="45" spans="1:9" x14ac:dyDescent="0.4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s5zjvu2mlDzqGizw14kOlgUMQPlYaHW229XF8ujMPu7jClco9jRQdlBijbHzUO0JoTLp+dwxD6Umw+qgk8pfA==" saltValue="3l86yZv89uQFvup6YMZ3dA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8" x14ac:dyDescent="0.55000000000000004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" x14ac:dyDescent="0.55000000000000004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4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106</v>
      </c>
      <c r="C5" s="99"/>
      <c r="D5" s="99"/>
      <c r="E5" s="99"/>
      <c r="F5" s="100"/>
      <c r="G5" s="26">
        <v>4390570.5588816199</v>
      </c>
      <c r="H5" s="14" t="s">
        <v>3</v>
      </c>
      <c r="I5" s="1"/>
    </row>
    <row r="6" spans="1:9" x14ac:dyDescent="0.45">
      <c r="A6" s="1"/>
      <c r="B6" s="98" t="s">
        <v>102</v>
      </c>
      <c r="C6" s="99"/>
      <c r="D6" s="99"/>
      <c r="E6" s="99"/>
      <c r="F6" s="100"/>
      <c r="G6" s="26">
        <f>G5*'Fane 14. Nøgletal'!C17</f>
        <v>39954.192085822746</v>
      </c>
      <c r="H6" s="14" t="s">
        <v>3</v>
      </c>
      <c r="I6" s="1"/>
    </row>
    <row r="7" spans="1:9" x14ac:dyDescent="0.4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4405869.1946541034</v>
      </c>
      <c r="H10" s="14" t="s">
        <v>3</v>
      </c>
      <c r="I10" s="1"/>
    </row>
    <row r="11" spans="1:9" x14ac:dyDescent="0.4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4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40093.40967135234</v>
      </c>
      <c r="H12" s="14" t="s">
        <v>3</v>
      </c>
      <c r="I12" s="1"/>
    </row>
    <row r="13" spans="1:9" x14ac:dyDescent="0.4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4439557.3957489589</v>
      </c>
      <c r="H16" s="14" t="s">
        <v>3</v>
      </c>
      <c r="I16" s="1"/>
    </row>
    <row r="17" spans="1:9" x14ac:dyDescent="0.45">
      <c r="A17" s="1"/>
      <c r="B17" s="98" t="s">
        <v>223</v>
      </c>
      <c r="C17" s="99"/>
      <c r="D17" s="99"/>
      <c r="E17" s="99"/>
      <c r="F17" s="100"/>
      <c r="G17" s="26">
        <v>-160617.03172930793</v>
      </c>
      <c r="H17" s="14" t="s">
        <v>3</v>
      </c>
      <c r="I17" s="1"/>
    </row>
    <row r="18" spans="1:9" x14ac:dyDescent="0.45">
      <c r="A18" s="1"/>
      <c r="B18" s="101" t="s">
        <v>113</v>
      </c>
      <c r="C18" s="102"/>
      <c r="D18" s="102"/>
      <c r="E18" s="102"/>
      <c r="F18" s="103"/>
      <c r="G18" s="26">
        <v>69067.61197750998</v>
      </c>
      <c r="H18" s="14" t="s">
        <v>3</v>
      </c>
      <c r="I18" s="1"/>
    </row>
    <row r="19" spans="1:9" x14ac:dyDescent="0.4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37827.669391175303</v>
      </c>
      <c r="H19" s="14" t="s">
        <v>3</v>
      </c>
      <c r="I19" s="1"/>
    </row>
    <row r="20" spans="1:9" x14ac:dyDescent="0.4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4383022.3537876261</v>
      </c>
      <c r="H23" s="14" t="s">
        <v>3</v>
      </c>
      <c r="I23" s="1"/>
    </row>
    <row r="24" spans="1:9" x14ac:dyDescent="0.4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436047.40504096204</v>
      </c>
      <c r="H24" s="14" t="s">
        <v>3</v>
      </c>
      <c r="I24" s="1"/>
    </row>
    <row r="25" spans="1:9" x14ac:dyDescent="0.4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50516.040781115669</v>
      </c>
      <c r="H25" s="14" t="s">
        <v>3</v>
      </c>
      <c r="I25" s="1"/>
    </row>
    <row r="26" spans="1:9" x14ac:dyDescent="0.4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4862494.2262930069</v>
      </c>
      <c r="H29" s="14" t="s">
        <v>3</v>
      </c>
      <c r="I29" s="1"/>
    </row>
    <row r="30" spans="1:9" x14ac:dyDescent="0.4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4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138094.8360267214</v>
      </c>
      <c r="H31" s="14" t="s">
        <v>3</v>
      </c>
      <c r="I31" s="1"/>
    </row>
    <row r="32" spans="1:9" x14ac:dyDescent="0.4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4817470.0582545316</v>
      </c>
      <c r="H35" s="14" t="s">
        <v>3</v>
      </c>
      <c r="I35" s="1"/>
    </row>
    <row r="36" spans="1:9" x14ac:dyDescent="0.4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4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136816.14965442871</v>
      </c>
      <c r="H37" s="14" t="s">
        <v>3</v>
      </c>
      <c r="I37" s="1"/>
    </row>
    <row r="38" spans="1:9" x14ac:dyDescent="0.4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4772862.790599525</v>
      </c>
      <c r="H41" s="14" t="s">
        <v>3</v>
      </c>
      <c r="I41" s="1"/>
    </row>
    <row r="42" spans="1:9" x14ac:dyDescent="0.4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4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135549.3032530265</v>
      </c>
      <c r="H43" s="14" t="s">
        <v>3</v>
      </c>
      <c r="I43" s="1"/>
    </row>
    <row r="44" spans="1:9" x14ac:dyDescent="0.4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ea4TRKyHmNU5D1kFvkRdoD5tV2/Hz5fOl88x/tyO3O6QtQ4H6GDKHIeWkt+YebGnIX2pEbdFxeGlciMyCBiEw==" saltValue="WM6dg8Rg9Hhx9fTLDjNUDw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178</v>
      </c>
      <c r="C9" s="99"/>
      <c r="D9" s="99"/>
      <c r="E9" s="99"/>
      <c r="F9" s="100"/>
      <c r="G9" s="25">
        <v>0.02</v>
      </c>
      <c r="H9" s="14"/>
      <c r="I9" s="1"/>
    </row>
    <row r="10" spans="1:9" x14ac:dyDescent="0.45">
      <c r="A10" s="1"/>
      <c r="B10" s="98" t="s">
        <v>179</v>
      </c>
      <c r="C10" s="99"/>
      <c r="D10" s="99"/>
      <c r="E10" s="99"/>
      <c r="F10" s="100"/>
      <c r="G10" s="25">
        <v>0.02</v>
      </c>
      <c r="H10" s="14"/>
      <c r="I10" s="1"/>
    </row>
    <row r="11" spans="1:9" x14ac:dyDescent="0.4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mGo0/NoFRyvHDChl3Y1SD/+IRtxifuJ4gN5S8uMGuiWf0H1/556GvTvs7Ts8zTuT5KG4tXO92ryjBaMfbxAiNA==" saltValue="XQmCyXUfynv3x2ypj2wWN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2019-09-05T10:17:00Z</dcterms:modified>
</cp:coreProperties>
</file>