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Ishøj Vand AS (V107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1" i="11" l="1"/>
  <c r="E10" i="11"/>
  <c r="E18" i="32" l="1"/>
  <c r="E9" i="32"/>
  <c r="E9" i="40" l="1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E13" i="39"/>
  <c r="E12" i="39"/>
  <c r="E14" i="39" s="1"/>
  <c r="C25" i="2" s="1"/>
  <c r="E29" i="39"/>
  <c r="E28" i="39"/>
  <c r="C37" i="39"/>
  <c r="C36" i="39"/>
  <c r="E21" i="39"/>
  <c r="E20" i="39"/>
  <c r="E37" i="39"/>
  <c r="E36" i="39"/>
  <c r="E30" i="39" l="1"/>
  <c r="C20" i="22" s="1"/>
  <c r="C22" i="39"/>
  <c r="C20" i="15" s="1"/>
  <c r="C38" i="39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2" i="32" s="1"/>
  <c r="E37" i="32" l="1"/>
  <c r="E39" i="32" s="1"/>
  <c r="C24" i="15" s="1"/>
  <c r="C23" i="22" s="1"/>
  <c r="C30" i="2"/>
  <c r="F12" i="11" l="1"/>
  <c r="C10" i="37" s="1"/>
  <c r="C11" i="37" s="1"/>
  <c r="C12" i="37" s="1"/>
  <c r="C10" i="2" s="1"/>
  <c r="G12" i="11"/>
  <c r="E11" i="21" l="1"/>
  <c r="C11" i="21"/>
  <c r="E11" i="29"/>
  <c r="C11" i="29"/>
  <c r="C13" i="19"/>
  <c r="C14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2" i="11"/>
  <c r="E10" i="37" s="1"/>
  <c r="E11" i="37" s="1"/>
  <c r="E12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<sst xmlns="http://schemas.openxmlformats.org/spreadsheetml/2006/main" count="591" uniqueCount="244">
  <si>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</si>
  <si>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</si>
  <si>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</si>
  <si>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</si>
  <si>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</si>
  <si>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</si>
  <si>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</si>
  <si>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</si>
  <si>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</si>
  <si>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</si>
  <si>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</si>
  <si>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</si>
  <si>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</si>
  <si>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</si>
  <si>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</si>
  <si>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</si>
  <si>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</si>
  <si>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</si>
  <si>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</si>
  <si>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</si>
  <si>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</si>
  <si>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</si>
  <si>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</si>
  <si>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</si>
  <si>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</si>
  <si>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</si>
  <si>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</si>
  <si>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</si>
  <si>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</si>
  <si>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</si>
  <si>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</si>
  <si>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</si>
  <si>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</si>
  <si>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</si>
  <si>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</si>
  <si>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</si>
  <si>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</si>
  <si>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</si>
  <si>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</si>
  <si>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</si>
  <si>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</si>
  <si>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</si>
  <si>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</si>
  <si>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</si>
  <si>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</si>
  <si>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</si>
  <si>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</si>
  <si>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</si>
  <si>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</si>
  <si>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</si>
  <si>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</si>
  <si>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</si>
  <si>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</si>
  <si>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</si>
  <si>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</si>
  <si>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</si>
  <si>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</si>
  <si>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</si>
  <si>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</si>
  <si>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</si>
  <si>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</si>
  <si>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</si>
  <si>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</si>
  <si>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</si>
  <si>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</si>
  <si>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</si>
  <si>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</si>
  <si>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</si>
  <si>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</si>
  <si>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</si>
  <si>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</si>
  <si>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</si>
  <si>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</si>
  <si>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</si>
  <si>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</si>
  <si>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</si>
  <si>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</si>
  <si>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</si>
  <si>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</si>
  <si>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</si>
  <si>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</si>
  <si>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</si>
  <si>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</si>
  <si>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</si>
  <si>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</si>
  <si>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</si>
  <si>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</si>
  <si>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</si>
  <si>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</si>
  <si>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</si>
  <si>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</si>
  <si>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</si>
  <si>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</si>
  <si>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</si>
  <si>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</si>
  <si>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</si>
  <si>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</si>
  <si>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</si>
  <si>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</si>
  <si>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</si>
  <si>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</si>
  <si>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</si>
  <si>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</si>
  <si>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</si>
  <si>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</si>
  <si>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</si>
  <si>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</si>
  <si>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</si>
  <si>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</si>
  <si>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</si>
  <si>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</si>
  <si>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</si>
  <si>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</si>
  <si>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</si>
  <si>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</si>
  <si>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</si>
  <si>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</si>
  <si>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</si>
  <si>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</si>
  <si>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</si>
  <si>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</si>
  <si>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</si>
  <si>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</si>
  <si>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</si>
  <si>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</si>
  <si>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</si>
  <si>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</si>
  <si>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</si>
  <si>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</si>
  <si>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</si>
  <si>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</si>
  <si>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</si>
  <si>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</si>
  <si>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</si>
  <si>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</si>
  <si>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</si>
  <si>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</si>
  <si>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</si>
  <si>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</si>
  <si>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</si>
  <si>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</si>
  <si>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</si>
  <si>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</si>
  <si>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</si>
  <si>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</si>
  <si>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</si>
  <si>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</si>
  <si>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</si>
  <si>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</si>
  <si>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</si>
  <si>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</si>
  <si>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</si>
  <si>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</si>
  <si>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</si>
  <si>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</si>
  <si>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</si>
  <si>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</si>
  <si>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</si>
  <si>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</si>
  <si>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</si>
  <si>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</si>
  <si>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</si>
  <si>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</si>
  <si>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</si>
  <si>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</si>
  <si>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</si>
  <si>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</si>
  <si>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</si>
  <si>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</si>
  <si>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</si>
  <si>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</si>
  <si>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</si>
  <si>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</si>
  <si>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</si>
  <si>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</si>
  <si>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</si>
  <si>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</si>
  <si>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</si>
  <si>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</si>
  <si>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</si>
  <si>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</si>
  <si>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</si>
  <si>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</si>
  <si>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</si>
  <si>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</si>
  <si>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</si>
  <si>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</si>
  <si>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</si>
  <si>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</si>
  <si>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</si>
  <si>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</si>
  <si>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</si>
  <si>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</si>
  <si>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</si>
  <si>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</si>
  <si>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</si>
  <si>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</si>
  <si>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</si>
  <si>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</si>
  <si>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</si>
  <si>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</si>
  <si>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</si>
  <si>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</si>
  <si>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</si>
  <si>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</si>
  <si>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</si>
  <si>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</si>
  <si>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</si>
  <si>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</si>
  <si>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</si>
  <si>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</si>
  <si>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</si>
  <si>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</si>
  <si>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</si>
  <si>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</si>
  <si>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</si>
  <si>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</si>
  <si>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</si>
  <si>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</si>
  <si>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</si>
  <si>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</si>
  <si>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</si>
  <si>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</si>
  <si>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</si>
  <si>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</si>
  <si>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</si>
  <si>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</si>
  <si>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</si>
  <si>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</si>
  <si>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</si>
  <si>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</si>
  <si>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</si>
  <si>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</si>
  <si>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</si>
  <si>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Ø 50mm &lt; Ledningsnet ≤ Ø110 mm</t>
  </si>
  <si>
    <t>Ventiler på Ø 50mm &lt; Ledningsnet ≤ Ø110 mm</t>
  </si>
  <si>
    <t>Anlægsprojekter igangsat senest 1. marts 2016</t>
  </si>
  <si>
    <t>Afgift for ledningsført vand</t>
  </si>
  <si>
    <t>Afgift til Forsyningssekretariatet</t>
  </si>
  <si>
    <t>Køb af ydelser og produkter fra andre vandselskaber reguleret af vandsektorloven</t>
  </si>
  <si>
    <t>Ingen engangstillæg</t>
  </si>
  <si>
    <t>Videreførte omkostninger fra den økonomiske ramme for 2022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</si>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</sst>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 refreshError="1"/>
      <sheetData sheetId="1">
        <row r="1">
          <cell r="A1" t="str">
            <v>ØR 2020-2023 samt statusmeddelelser</v>
          </cell>
        </row>
      </sheetData>
      <sheetData sheetId="2"/>
      <sheetData sheetId="3">
        <row r="1">
          <cell r="B1" t="str">
            <v>ØR 2018-2021 samt statusmeddelelser</v>
          </cell>
        </row>
      </sheetData>
      <sheetData sheetId="4">
        <row r="1">
          <cell r="A1" t="str">
            <v>AABBABAABBB[</v>
          </cell>
        </row>
      </sheetData>
      <sheetData sheetId="5">
        <row r="5">
          <cell r="C5">
            <v>1.0168999999999999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6" t="s">
        <v>4</v>
      </c>
      <c r="E6" s="66"/>
      <c r="F6" s="66"/>
      <c r="G6" s="66"/>
      <c r="H6" s="3"/>
      <c r="I6" s="1"/>
    </row>
    <row r="7" spans="1:9" ht="15" customHeight="1" x14ac:dyDescent="0.2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25">
      <c r="A8" s="1"/>
      <c r="B8" s="1"/>
      <c r="C8" s="4"/>
      <c r="D8" s="68" t="s">
        <v>192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56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22</v>
      </c>
      <c r="D14" s="63" t="s">
        <v>177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55</v>
      </c>
      <c r="D15" s="63" t="s">
        <v>133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57</v>
      </c>
      <c r="D16" s="63" t="s">
        <v>134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224</v>
      </c>
      <c r="D17" s="63" t="s">
        <v>66</v>
      </c>
      <c r="E17" s="64"/>
      <c r="F17" s="64"/>
      <c r="G17" s="65"/>
      <c r="H17" s="1"/>
      <c r="I17" s="1"/>
    </row>
    <row r="18" spans="1:9" x14ac:dyDescent="0.25">
      <c r="A18" s="1"/>
      <c r="B18" s="1"/>
      <c r="C18" s="34" t="s">
        <v>196</v>
      </c>
      <c r="D18" s="69" t="s">
        <v>162</v>
      </c>
      <c r="E18" s="70"/>
      <c r="F18" s="70"/>
      <c r="G18" s="71"/>
      <c r="H18" s="1"/>
      <c r="I18" s="1"/>
    </row>
    <row r="19" spans="1:9" x14ac:dyDescent="0.25">
      <c r="A19" s="1"/>
      <c r="B19" s="1"/>
      <c r="C19" s="34" t="s">
        <v>197</v>
      </c>
      <c r="D19" s="69" t="s">
        <v>163</v>
      </c>
      <c r="E19" s="70"/>
      <c r="F19" s="70"/>
      <c r="G19" s="71"/>
      <c r="H19" s="1"/>
      <c r="I19" s="1"/>
    </row>
    <row r="20" spans="1:9" x14ac:dyDescent="0.25">
      <c r="A20" s="1"/>
      <c r="B20" s="1"/>
      <c r="C20" s="34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198</v>
      </c>
      <c r="D21" s="60" t="s">
        <v>17</v>
      </c>
      <c r="E21" s="61"/>
      <c r="F21" s="61"/>
      <c r="G21" s="62"/>
      <c r="H21" s="1"/>
      <c r="I21" s="1"/>
    </row>
    <row r="22" spans="1:9" x14ac:dyDescent="0.25">
      <c r="A22" s="1"/>
      <c r="B22" s="1"/>
      <c r="C22" s="6" t="s">
        <v>140</v>
      </c>
      <c r="D22" s="54" t="s">
        <v>161</v>
      </c>
      <c r="E22" s="55"/>
      <c r="F22" s="55"/>
      <c r="G22" s="56"/>
      <c r="H22" s="1"/>
      <c r="I22" s="1"/>
    </row>
    <row r="23" spans="1:9" x14ac:dyDescent="0.25">
      <c r="A23" s="1"/>
      <c r="B23" s="1"/>
      <c r="C23" s="6" t="s">
        <v>8</v>
      </c>
      <c r="D23" s="54" t="s">
        <v>225</v>
      </c>
      <c r="E23" s="55"/>
      <c r="F23" s="55"/>
      <c r="G23" s="56"/>
      <c r="H23" s="1"/>
      <c r="I23" s="1"/>
    </row>
    <row r="24" spans="1:9" x14ac:dyDescent="0.25">
      <c r="A24" s="1"/>
      <c r="B24" s="1"/>
      <c r="C24" s="6" t="s">
        <v>9</v>
      </c>
      <c r="D24" s="54" t="s">
        <v>58</v>
      </c>
      <c r="E24" s="55"/>
      <c r="F24" s="55"/>
      <c r="G24" s="56"/>
      <c r="H24" s="1"/>
      <c r="I24" s="1"/>
    </row>
    <row r="25" spans="1:9" x14ac:dyDescent="0.25">
      <c r="A25" s="1"/>
      <c r="B25" s="1"/>
      <c r="C25" s="6" t="s">
        <v>199</v>
      </c>
      <c r="D25" s="54" t="s">
        <v>141</v>
      </c>
      <c r="E25" s="55"/>
      <c r="F25" s="55"/>
      <c r="G25" s="56"/>
      <c r="H25" s="1"/>
      <c r="I25" s="1"/>
    </row>
    <row r="26" spans="1:9" x14ac:dyDescent="0.25">
      <c r="A26" s="1"/>
      <c r="B26" s="1"/>
      <c r="C26" s="6" t="s">
        <v>200</v>
      </c>
      <c r="D26" s="54" t="s">
        <v>142</v>
      </c>
      <c r="E26" s="55"/>
      <c r="F26" s="55"/>
      <c r="G26" s="56"/>
      <c r="H26" s="1"/>
      <c r="I26" s="1"/>
    </row>
    <row r="27" spans="1:9" x14ac:dyDescent="0.25">
      <c r="A27" s="1"/>
      <c r="B27" s="1"/>
      <c r="C27" s="6" t="s">
        <v>201</v>
      </c>
      <c r="D27" s="54" t="s">
        <v>59</v>
      </c>
      <c r="E27" s="55"/>
      <c r="F27" s="55"/>
      <c r="G27" s="56"/>
      <c r="H27" s="1"/>
      <c r="I27" s="1"/>
    </row>
    <row r="28" spans="1:9" x14ac:dyDescent="0.25">
      <c r="A28" s="1"/>
      <c r="B28" s="1"/>
      <c r="C28" s="6" t="s">
        <v>183</v>
      </c>
      <c r="D28" s="54" t="s">
        <v>60</v>
      </c>
      <c r="E28" s="55"/>
      <c r="F28" s="55"/>
      <c r="G28" s="56"/>
      <c r="H28" s="1"/>
      <c r="I28" s="1"/>
    </row>
    <row r="29" spans="1:9" x14ac:dyDescent="0.25">
      <c r="A29" s="1"/>
      <c r="B29" s="1"/>
      <c r="C29" s="6" t="s">
        <v>61</v>
      </c>
      <c r="D29" s="51" t="s">
        <v>11</v>
      </c>
      <c r="E29" s="52"/>
      <c r="F29" s="52"/>
      <c r="G29" s="53"/>
      <c r="H29" s="1"/>
      <c r="I29" s="1"/>
    </row>
    <row r="30" spans="1:9" x14ac:dyDescent="0.25">
      <c r="A30" s="1"/>
      <c r="B30" s="1"/>
      <c r="C30" s="6" t="s">
        <v>62</v>
      </c>
      <c r="D30" s="57" t="s">
        <v>184</v>
      </c>
      <c r="E30" s="58"/>
      <c r="F30" s="58"/>
      <c r="G30" s="59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iQc3Z6SHelzAtVdU6W1gyQBT9ooHGBTV+X6DMnZeTvq6QsEBG+RXBuS+laKl2zHYAmfpZi5ACIhNkRVSvAYcrw==" saltValue="PxKLEGCkyAdNP+Oi/Y0H2Q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8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39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237</v>
      </c>
      <c r="C10" s="9">
        <v>6808191</v>
      </c>
      <c r="D10" s="14" t="s">
        <v>3</v>
      </c>
      <c r="E10" s="1"/>
      <c r="F10" s="1"/>
    </row>
    <row r="11" spans="1:6" x14ac:dyDescent="0.25">
      <c r="A11" s="1"/>
      <c r="B11" s="48" t="s">
        <v>238</v>
      </c>
      <c r="C11" s="9">
        <v>36446</v>
      </c>
      <c r="D11" s="14" t="s">
        <v>3</v>
      </c>
      <c r="E11" s="1"/>
      <c r="F11" s="1"/>
    </row>
    <row r="12" spans="1:6" ht="26.25" x14ac:dyDescent="0.25">
      <c r="A12" s="1"/>
      <c r="B12" s="45" t="s">
        <v>239</v>
      </c>
      <c r="C12" s="9">
        <v>4294906</v>
      </c>
      <c r="D12" s="14" t="s">
        <v>3</v>
      </c>
      <c r="E12" s="1"/>
      <c r="F12" s="1"/>
    </row>
    <row r="13" spans="1:6" x14ac:dyDescent="0.25">
      <c r="A13" s="1"/>
      <c r="B13" s="46" t="s">
        <v>71</v>
      </c>
      <c r="C13" s="12">
        <f>SUM(C10:C12)</f>
        <v>11139543</v>
      </c>
      <c r="D13" s="13" t="s">
        <v>3</v>
      </c>
      <c r="E13" s="1"/>
      <c r="F13" s="1"/>
    </row>
    <row r="14" spans="1:6" x14ac:dyDescent="0.25">
      <c r="A14" s="1"/>
      <c r="B14" s="46" t="s">
        <v>72</v>
      </c>
      <c r="C14" s="12">
        <f>C13*(1+'Fane 14. Nøgletal'!C12)^2</f>
        <v>11582764.13944287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</sheetData>
  <sheetProtection algorithmName="SHA-512" hashValue="4ME0LnBlGKGbyr0QPXBBKbGD6373kL4MoQPGXpfheKiSOtsU7sc9XfkGljSqkLKmOlwr78aiHTXf+qNZbglRhw==" saltValue="vxVP+YlO5HK4laifjyy9p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205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ht="15" customHeight="1" x14ac:dyDescent="0.25">
      <c r="A5" s="1"/>
      <c r="B5" s="44"/>
      <c r="C5" s="44"/>
      <c r="D5" s="44"/>
      <c r="E5" s="44"/>
      <c r="F5" s="44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304208.26666666672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858052.32836465538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1162260.595031322</v>
      </c>
      <c r="F9" s="17" t="s">
        <v>3</v>
      </c>
      <c r="G9" s="1"/>
    </row>
    <row r="10" spans="1:7" ht="15" customHeight="1" x14ac:dyDescent="0.25">
      <c r="A10" s="1"/>
      <c r="B10" s="46"/>
      <c r="C10" s="47"/>
      <c r="D10" s="47"/>
      <c r="E10" s="47"/>
      <c r="F10" s="22"/>
      <c r="G10" s="1"/>
    </row>
    <row r="11" spans="1:7" ht="28.5" customHeight="1" x14ac:dyDescent="0.25">
      <c r="A11" s="1"/>
      <c r="B11" s="86" t="s">
        <v>188</v>
      </c>
      <c r="C11" s="87"/>
      <c r="D11" s="87"/>
      <c r="E11" s="87"/>
      <c r="F11" s="8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18505710.750539578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19692635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-1186924.2494604215</v>
      </c>
      <c r="F18" s="17" t="s">
        <v>3</v>
      </c>
      <c r="G18" s="1"/>
    </row>
    <row r="19" spans="1:7" x14ac:dyDescent="0.25">
      <c r="A19" s="1"/>
      <c r="B19" s="46"/>
      <c r="C19" s="47"/>
      <c r="D19" s="47"/>
      <c r="E19" s="47"/>
      <c r="F19" s="22"/>
      <c r="G19" s="1"/>
    </row>
    <row r="20" spans="1:7" ht="30" customHeight="1" x14ac:dyDescent="0.25">
      <c r="A20" s="1"/>
      <c r="B20" s="86" t="s">
        <v>189</v>
      </c>
      <c r="C20" s="87"/>
      <c r="D20" s="87"/>
      <c r="E20" s="87"/>
      <c r="F20" s="8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19270971.541099563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19177825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93146.541099563241</v>
      </c>
      <c r="F27" s="17" t="s">
        <v>3</v>
      </c>
      <c r="G27" s="1"/>
    </row>
    <row r="28" spans="1:7" x14ac:dyDescent="0.25">
      <c r="A28" s="1"/>
      <c r="B28" s="46"/>
      <c r="C28" s="47"/>
      <c r="D28" s="47"/>
      <c r="E28" s="47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242</v>
      </c>
      <c r="C31" s="96"/>
      <c r="D31" s="96"/>
      <c r="E31" s="96"/>
      <c r="F31" s="97"/>
      <c r="G31" s="1"/>
    </row>
    <row r="32" spans="1:7" x14ac:dyDescent="0.25">
      <c r="A32" s="1"/>
      <c r="B32" s="106" t="s">
        <v>243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12331.827214549761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0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zmlD1vZaqTZNfKExuRu2iXAgpBtva6hqe6nqH2/vX0VaJ/+Ig3Z+KwmIJMP7KfJNzjcL10VVUgsViVLS7+J1Zg==" saltValue="gmqgM+dtsK5BRdO3pgp+wg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228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92" t="s">
        <v>164</v>
      </c>
      <c r="C9" s="93"/>
      <c r="D9" s="94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46" t="s">
        <v>175</v>
      </c>
      <c r="C10" s="47"/>
      <c r="D10" s="47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RIqZTYHi970OP3z3grswjrJVmOUDO3n3SQFoYOKlVA1IrpM7hc6cjd1O1fGmM/FZSloS1lfhxc0T99GFElUV+w==" saltValue="GCatW5XCGvoAQqac+qqdy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1"/>
      <c r="I9" s="1"/>
    </row>
    <row r="10" spans="1:9" ht="26.25" x14ac:dyDescent="0.25">
      <c r="A10" s="1"/>
      <c r="B10" s="115" t="s">
        <v>234</v>
      </c>
      <c r="C10" s="116">
        <v>75</v>
      </c>
      <c r="D10" s="9">
        <v>1617753</v>
      </c>
      <c r="E10" s="9">
        <f>IFERROR(D10/C10,0)</f>
        <v>21570.04</v>
      </c>
      <c r="F10" s="9">
        <v>0</v>
      </c>
      <c r="G10" s="9">
        <v>57173</v>
      </c>
      <c r="H10" s="14" t="s">
        <v>3</v>
      </c>
      <c r="I10" s="1"/>
    </row>
    <row r="11" spans="1:9" ht="26.25" x14ac:dyDescent="0.25">
      <c r="A11" s="1"/>
      <c r="B11" s="115" t="s">
        <v>235</v>
      </c>
      <c r="C11" s="116">
        <v>75</v>
      </c>
      <c r="D11" s="9">
        <v>480000</v>
      </c>
      <c r="E11" s="9">
        <f t="shared" ref="E11" si="0">IFERROR(D11/C11,0)</f>
        <v>6400</v>
      </c>
      <c r="F11" s="9">
        <v>0</v>
      </c>
      <c r="G11" s="9">
        <v>16964</v>
      </c>
      <c r="H11" s="14" t="s">
        <v>3</v>
      </c>
      <c r="I11" s="1"/>
    </row>
    <row r="12" spans="1:9" x14ac:dyDescent="0.25">
      <c r="A12" s="1"/>
      <c r="B12" s="95" t="s">
        <v>231</v>
      </c>
      <c r="C12" s="96"/>
      <c r="D12" s="97"/>
      <c r="E12" s="12">
        <f>SUM(E10:E11)</f>
        <v>27970.04</v>
      </c>
      <c r="F12" s="12">
        <f>SUM(F10:F11)</f>
        <v>0</v>
      </c>
      <c r="G12" s="12">
        <f>SUM(G10:G11)</f>
        <v>74137</v>
      </c>
      <c r="H12" s="13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y46koumoVg6Iq9rtU+FD1qZ6qUcWQ9sS6C4nIexDoy/qsz9usa41/qormcBQ+GjB3sGrFlGS6CanNePs29KtyA==" saltValue="lNL2tWbyad+iUdiPYwLKFw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137</v>
      </c>
      <c r="C8" s="47"/>
      <c r="D8" s="47"/>
      <c r="E8" s="47"/>
      <c r="F8" s="22"/>
      <c r="G8" s="1"/>
    </row>
    <row r="9" spans="1:7" ht="17.25" customHeight="1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236</v>
      </c>
      <c r="C10" s="24">
        <f>'Fane 9. Anlægsprojekter'!F12</f>
        <v>0</v>
      </c>
      <c r="D10" s="14" t="s">
        <v>3</v>
      </c>
      <c r="E10" s="9">
        <f>SUM('Fane 9. Anlægsprojekter'!E12,'Fane 9. Anlægsprojekter'!G12)</f>
        <v>102107.04000000001</v>
      </c>
      <c r="F10" s="14" t="s">
        <v>3</v>
      </c>
      <c r="G10" s="1"/>
    </row>
    <row r="11" spans="1:7" x14ac:dyDescent="0.25">
      <c r="A11" s="1"/>
      <c r="B11" s="46" t="s">
        <v>63</v>
      </c>
      <c r="C11" s="12">
        <f>SUM(C10:C10)</f>
        <v>0</v>
      </c>
      <c r="D11" s="13" t="s">
        <v>3</v>
      </c>
      <c r="E11" s="12">
        <f>SUM(E10:E10)</f>
        <v>102107.04000000001</v>
      </c>
      <c r="F11" s="13" t="s">
        <v>3</v>
      </c>
      <c r="G11" s="1"/>
    </row>
    <row r="12" spans="1:7" x14ac:dyDescent="0.25">
      <c r="A12" s="1"/>
      <c r="B12" s="46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104118.54868800001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p3JV3WY9CWJ+d7p9dzsFMtkStJ1EsXty8LtpaCKR77u0a8b3jHKapsHunNuJ3i8Ffh2ekFgmBrf+oeYYn8Mamg==" saltValue="nK79uICRGE6CeHG7M59sQ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240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46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2" t="s">
        <v>24</v>
      </c>
      <c r="C17" s="42" t="s">
        <v>16</v>
      </c>
      <c r="D17" s="43"/>
      <c r="E17" s="42" t="s">
        <v>47</v>
      </c>
      <c r="F17" s="41"/>
      <c r="G17" s="1"/>
    </row>
    <row r="18" spans="1:7" x14ac:dyDescent="0.25">
      <c r="A18" s="1"/>
      <c r="B18" s="27" t="s">
        <v>240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6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46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2" t="s">
        <v>24</v>
      </c>
      <c r="C25" s="42" t="s">
        <v>16</v>
      </c>
      <c r="D25" s="43"/>
      <c r="E25" s="42" t="s">
        <v>47</v>
      </c>
      <c r="F25" s="41"/>
      <c r="G25" s="1"/>
    </row>
    <row r="26" spans="1:7" x14ac:dyDescent="0.25">
      <c r="A26" s="1"/>
      <c r="B26" s="27" t="s">
        <v>240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6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46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2" t="s">
        <v>24</v>
      </c>
      <c r="C33" s="42" t="s">
        <v>16</v>
      </c>
      <c r="D33" s="43"/>
      <c r="E33" s="42" t="s">
        <v>47</v>
      </c>
      <c r="F33" s="41"/>
      <c r="G33" s="1"/>
    </row>
    <row r="34" spans="1:7" x14ac:dyDescent="0.25">
      <c r="A34" s="1"/>
      <c r="B34" s="27" t="s">
        <v>240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6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46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GCPTse2WA3bNuvIMqHUhXiuSq1mk/IJ3eivyNVApHczTPoK6681CflTfMCbCPFlBroH4RzWZj82xGNm0hMpug==" saltValue="2ZofqAapTLLVvbrwCjGY5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208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0" t="s">
        <v>32</v>
      </c>
      <c r="C9" s="92" t="s">
        <v>16</v>
      </c>
      <c r="D9" s="94"/>
      <c r="E9" s="92" t="s">
        <v>47</v>
      </c>
      <c r="F9" s="94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AslhXZhBgmKtHLRPDHlVFBWa4EbVI135kYibJK2lj45nScny5EoCUcYfsN5rVPYlk1fEaioVtlUEuBttbzPTXg==" saltValue="qegEmX/gbkrvFUAIKhQMO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209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0" t="s">
        <v>25</v>
      </c>
      <c r="C9" s="40" t="s">
        <v>16</v>
      </c>
      <c r="D9" s="41"/>
      <c r="E9" s="40" t="s">
        <v>47</v>
      </c>
      <c r="F9" s="41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0" t="s">
        <v>25</v>
      </c>
      <c r="C16" s="40" t="s">
        <v>16</v>
      </c>
      <c r="D16" s="41"/>
      <c r="E16" s="40" t="s">
        <v>47</v>
      </c>
      <c r="F16" s="41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6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6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0" t="s">
        <v>25</v>
      </c>
      <c r="C23" s="40" t="s">
        <v>16</v>
      </c>
      <c r="D23" s="41"/>
      <c r="E23" s="40" t="s">
        <v>47</v>
      </c>
      <c r="F23" s="41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6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6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0" t="s">
        <v>25</v>
      </c>
      <c r="C30" s="40" t="s">
        <v>16</v>
      </c>
      <c r="D30" s="41"/>
      <c r="E30" s="40" t="s">
        <v>47</v>
      </c>
      <c r="F30" s="41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6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6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Df9bsH97XvfvA073sdac/4hve7LAdarBWBPaxOqLpOgm+OeD/Qb9KkOM9plTL8o6/eRDFUGDd5fZ14F8en3mfA==" saltValue="zKyDBCAUwVt/ad7VSCwPs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-2278650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2079355.5132275133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-199294.48677248671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1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199294.48677248671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xdOCgo8AmMcm6SnitSE4wbqXpEKXp5sW5GPMSOwYPFqNbhT/211d3Ao5RUBZQDTAWGPSAvp2niJovyigf/qVoA==" saltValue="9m6ccG6gWeCgUf7cBVKrl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2" t="s">
        <v>54</v>
      </c>
      <c r="C3" s="82"/>
      <c r="D3" s="1"/>
    </row>
    <row r="4" spans="1:4" ht="25.5" customHeight="1" x14ac:dyDescent="0.25">
      <c r="A4" s="1"/>
      <c r="B4" s="82"/>
      <c r="C4" s="8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46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6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46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F189gGD7MsmLjXbXqRt+v8X2MG2cDPE0pUY2J2nJRrgsX7F9Nnm3AnQjzKLZNGiWgnzlaHt43TVk0kJR5Xza5w==" saltValue="q+cBgt3OZ+d1P6eM6PZzGw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x14ac:dyDescent="0.25">
      <c r="A9" s="1"/>
      <c r="B9" s="45" t="s">
        <v>34</v>
      </c>
      <c r="C9" s="7">
        <f>'Fane 3. Omkostninger i ØR2019'!E22</f>
        <v>7105127.9360228144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tillæg'!E12</f>
        <v>104118.54868800001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122127.79752793915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-85233.599571052706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-72370.810048945001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-36752.530378587144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7137017.3422401678</v>
      </c>
      <c r="D20" s="11" t="s">
        <v>3</v>
      </c>
      <c r="E20" s="1"/>
    </row>
    <row r="21" spans="1:5" ht="15" customHeight="1" x14ac:dyDescent="0.25">
      <c r="A21" s="1"/>
      <c r="B21" s="46" t="s">
        <v>17</v>
      </c>
      <c r="C21" s="47"/>
      <c r="D21" s="22"/>
      <c r="E21" s="1"/>
    </row>
    <row r="22" spans="1:5" ht="15" customHeight="1" x14ac:dyDescent="0.25">
      <c r="A22" s="1"/>
      <c r="B22" s="40" t="s">
        <v>17</v>
      </c>
      <c r="C22" s="10">
        <f>'Fane 6. Ikke-påvirkelige omk.'!C14</f>
        <v>11582764.13944287</v>
      </c>
      <c r="D22" s="11" t="s">
        <v>3</v>
      </c>
      <c r="E22" s="1"/>
    </row>
    <row r="23" spans="1:5" ht="15" customHeight="1" x14ac:dyDescent="0.25">
      <c r="A23" s="1"/>
      <c r="B23" s="46" t="s">
        <v>142</v>
      </c>
      <c r="C23" s="47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46" t="s">
        <v>11</v>
      </c>
      <c r="C27" s="47"/>
      <c r="D27" s="22"/>
      <c r="E27" s="1"/>
    </row>
    <row r="28" spans="1:5" ht="15" customHeight="1" x14ac:dyDescent="0.25">
      <c r="A28" s="1"/>
      <c r="B28" s="40" t="s">
        <v>19</v>
      </c>
      <c r="C28" s="10">
        <f>'Fane 13. Hist. over-underdæk.'!G14</f>
        <v>199294.48677248671</v>
      </c>
      <c r="D28" s="11" t="s">
        <v>3</v>
      </c>
      <c r="E28" s="1"/>
    </row>
    <row r="29" spans="1:5" ht="15" customHeight="1" x14ac:dyDescent="0.25">
      <c r="A29" s="1"/>
      <c r="B29" s="46" t="s">
        <v>53</v>
      </c>
      <c r="C29" s="47"/>
      <c r="D29" s="22"/>
      <c r="E29" s="1"/>
    </row>
    <row r="30" spans="1:5" x14ac:dyDescent="0.25">
      <c r="A30" s="1"/>
      <c r="B30" s="40" t="s">
        <v>218</v>
      </c>
      <c r="C30" s="10">
        <f>'Fane 7. Kontrol af ØR2018'!E32</f>
        <v>12331.827214549761</v>
      </c>
      <c r="D30" s="11" t="s">
        <v>3</v>
      </c>
      <c r="E30" s="1"/>
    </row>
    <row r="31" spans="1:5" x14ac:dyDescent="0.25">
      <c r="A31" s="1"/>
      <c r="B31" s="46" t="s">
        <v>225</v>
      </c>
      <c r="C31" s="47"/>
      <c r="D31" s="22"/>
      <c r="E31" s="1"/>
    </row>
    <row r="32" spans="1:5" x14ac:dyDescent="0.25">
      <c r="A32" s="1"/>
      <c r="B32" s="40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46" t="s">
        <v>35</v>
      </c>
      <c r="C33" s="33">
        <f>SUM(C20,C22,C26,C28,C30,C32)</f>
        <v>18931407.795670073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PFkyGFUxdODGoCyzgerMR0+TpGnrF6OzMLuCpxICzGptlQV7WlHrpkNwKTf/UAyHZne+XzlO1F2gbvC84vZufA==" saltValue="hHDutfmB3iI+qKqbgnlPs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ht="15" customHeight="1" x14ac:dyDescent="0.25">
      <c r="A9" s="1"/>
      <c r="B9" s="45" t="s">
        <v>36</v>
      </c>
      <c r="C9" s="7">
        <f>'Fane 2.1. Økonomisk ramme 2020'!C20</f>
        <v>7137017.3422401678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140599.2416421313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-84608.619593332041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-72320.584706771057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-114310.858617379</v>
      </c>
      <c r="D15" s="8" t="s">
        <v>3</v>
      </c>
      <c r="E15" s="1"/>
    </row>
    <row r="16" spans="1:5" ht="15" customHeight="1" x14ac:dyDescent="0.25">
      <c r="A16" s="1"/>
      <c r="B16" s="39" t="s">
        <v>28</v>
      </c>
      <c r="C16" s="10">
        <f>SUM(C9:C15)</f>
        <v>7006376.5209648171</v>
      </c>
      <c r="D16" s="11" t="s">
        <v>3</v>
      </c>
      <c r="E16" s="1"/>
    </row>
    <row r="17" spans="1:5" x14ac:dyDescent="0.25">
      <c r="A17" s="1"/>
      <c r="B17" s="46" t="s">
        <v>17</v>
      </c>
      <c r="C17" s="47"/>
      <c r="D17" s="22"/>
      <c r="E17" s="1"/>
    </row>
    <row r="18" spans="1:5" ht="15" customHeight="1" x14ac:dyDescent="0.25">
      <c r="A18" s="1"/>
      <c r="B18" s="40" t="s">
        <v>17</v>
      </c>
      <c r="C18" s="10">
        <f>'Fane 6. Ikke-påvirkelige omk.'!C14*(1+'Fane 14. Nøgletal'!C12)</f>
        <v>11810944.592989895</v>
      </c>
      <c r="D18" s="11" t="s">
        <v>3</v>
      </c>
      <c r="E18" s="1"/>
    </row>
    <row r="19" spans="1:5" ht="15" customHeight="1" x14ac:dyDescent="0.25">
      <c r="A19" s="1"/>
      <c r="B19" s="46" t="s">
        <v>142</v>
      </c>
      <c r="C19" s="47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46" t="s">
        <v>160</v>
      </c>
      <c r="C23" s="47"/>
      <c r="D23" s="22"/>
      <c r="E23" s="1"/>
    </row>
    <row r="24" spans="1:5" ht="15" customHeight="1" x14ac:dyDescent="0.25">
      <c r="A24" s="1"/>
      <c r="B24" s="40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46" t="s">
        <v>44</v>
      </c>
      <c r="C25" s="12">
        <f>SUM(C16,C18,C22,C24)</f>
        <v>18817321.113954712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0vGQ+n0TbYhig4U2DVy4fsuSIE1GKbbKcYmBLvdhPFSvv/wxKfQDUn5sndgkDqJXLMDKEU/Mx1LteXbAiqA0Sw==" saltValue="GyEZKtKV+X/v2Z/W02LtN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37</v>
      </c>
      <c r="C8" s="7">
        <f>'Fane 2.2. Økonomisk ramme 2021'!C16</f>
        <v>7006376.5209648171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138025.6174630069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-83059.885854767635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-72270.394220984555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-113252.39950822854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6875819.4588438431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omk.'!C14*(1+'Fane 14. Nøgletal'!C12)^2</f>
        <v>12043620.201471796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6" t="s">
        <v>160</v>
      </c>
      <c r="C22" s="47"/>
      <c r="D22" s="22"/>
      <c r="E22" s="1"/>
    </row>
    <row r="23" spans="1:5" ht="15" customHeight="1" x14ac:dyDescent="0.25">
      <c r="A23" s="1"/>
      <c r="B23" s="40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46" t="s">
        <v>45</v>
      </c>
      <c r="C24" s="12">
        <f>SUM(C15,C17,C21,C23)</f>
        <v>18919439.66031564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SiXl2N6IjAfATrhq6uH3x/OfmeJVpWE8VFWqYI9i/4AnJP6s+dNJcYKVdvgHuZUcWb1ZIu68Is+tAGoN/XJ7WQ==" saltValue="qG5eV87oAg+fxrYzNfDp/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241</v>
      </c>
      <c r="C8" s="7">
        <f>'Fane 2.3. Økonomisk ramme 2022'!C15</f>
        <v>6875819.4588438431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135453.64333922369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-81512.145072516796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-72220.238567395194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-112203.74118003009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6745336.9773631245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omk.'!C14*(1+'Fane 14. Nøgletal'!C12)^3</f>
        <v>12280879.519440791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6" t="s">
        <v>154</v>
      </c>
      <c r="C22" s="12">
        <f>SUM(C15,C17,C21)</f>
        <v>19026216.496803917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C6muuHzUKjZTtFp0EWEnTYgYN5pSUWP5MbRVhvn4e5PDbBQNR+NXRxk+Q0Bqd1xBQg3gIbJioNuogz9TTrqgVw==" saltValue="3yUwlpHxvdyAhZhks+27Y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221</v>
      </c>
      <c r="C3" s="82"/>
      <c r="D3" s="82"/>
      <c r="E3" s="82"/>
      <c r="F3" s="82"/>
      <c r="G3" s="1"/>
    </row>
    <row r="4" spans="1:7" ht="29.2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84</v>
      </c>
      <c r="C8" s="47"/>
      <c r="D8" s="47"/>
      <c r="E8" s="47"/>
      <c r="F8" s="22"/>
      <c r="G8" s="1"/>
    </row>
    <row r="9" spans="1:7" x14ac:dyDescent="0.25">
      <c r="A9" s="1"/>
      <c r="B9" s="83" t="s">
        <v>81</v>
      </c>
      <c r="C9" s="84"/>
      <c r="D9" s="85"/>
      <c r="E9" s="7">
        <v>6945944.1940681618</v>
      </c>
      <c r="F9" s="8" t="s">
        <v>3</v>
      </c>
      <c r="G9" s="1"/>
    </row>
    <row r="10" spans="1:7" x14ac:dyDescent="0.25">
      <c r="A10" s="1"/>
      <c r="B10" s="83" t="s">
        <v>82</v>
      </c>
      <c r="C10" s="84"/>
      <c r="D10" s="85"/>
      <c r="E10" s="7">
        <v>-23627.037056089994</v>
      </c>
      <c r="F10" s="8" t="s">
        <v>3</v>
      </c>
      <c r="G10" s="1"/>
    </row>
    <row r="11" spans="1:7" x14ac:dyDescent="0.25">
      <c r="A11" s="1"/>
      <c r="B11" s="83" t="s">
        <v>83</v>
      </c>
      <c r="C11" s="84"/>
      <c r="D11" s="85"/>
      <c r="E11" s="7">
        <v>-293734.43060223426</v>
      </c>
      <c r="F11" s="8" t="s">
        <v>3</v>
      </c>
      <c r="G11" s="1"/>
    </row>
    <row r="12" spans="1:7" x14ac:dyDescent="0.25">
      <c r="A12" s="1"/>
      <c r="B12" s="74" t="s">
        <v>67</v>
      </c>
      <c r="C12" s="75"/>
      <c r="D12" s="76"/>
      <c r="E12" s="7">
        <v>0</v>
      </c>
      <c r="F12" s="8" t="s">
        <v>3</v>
      </c>
      <c r="G12" s="1"/>
    </row>
    <row r="13" spans="1:7" x14ac:dyDescent="0.25">
      <c r="A13" s="1"/>
      <c r="B13" s="74" t="s">
        <v>68</v>
      </c>
      <c r="C13" s="75"/>
      <c r="D13" s="76"/>
      <c r="E13" s="9">
        <v>546202.41249999998</v>
      </c>
      <c r="F13" s="8" t="s">
        <v>3</v>
      </c>
      <c r="G13" s="1"/>
    </row>
    <row r="14" spans="1:7" x14ac:dyDescent="0.25">
      <c r="A14" s="1"/>
      <c r="B14" s="74" t="s">
        <v>41</v>
      </c>
      <c r="C14" s="75"/>
      <c r="D14" s="76"/>
      <c r="E14" s="9">
        <v>0</v>
      </c>
      <c r="F14" s="8" t="s">
        <v>3</v>
      </c>
      <c r="G14" s="1"/>
    </row>
    <row r="15" spans="1:7" x14ac:dyDescent="0.25">
      <c r="A15" s="1"/>
      <c r="B15" s="74" t="s">
        <v>40</v>
      </c>
      <c r="C15" s="75"/>
      <c r="D15" s="76"/>
      <c r="E15" s="9">
        <v>0</v>
      </c>
      <c r="F15" s="8" t="s">
        <v>3</v>
      </c>
      <c r="G15" s="1"/>
    </row>
    <row r="16" spans="1:7" x14ac:dyDescent="0.25">
      <c r="A16" s="1"/>
      <c r="B16" s="74" t="s">
        <v>43</v>
      </c>
      <c r="C16" s="75"/>
      <c r="D16" s="76"/>
      <c r="E16" s="9">
        <v>0</v>
      </c>
      <c r="F16" s="8" t="s">
        <v>3</v>
      </c>
      <c r="G16" s="1"/>
    </row>
    <row r="17" spans="1:7" x14ac:dyDescent="0.25">
      <c r="A17" s="1"/>
      <c r="B17" s="74" t="s">
        <v>42</v>
      </c>
      <c r="C17" s="75"/>
      <c r="D17" s="76"/>
      <c r="E17" s="9">
        <v>0</v>
      </c>
      <c r="F17" s="8" t="s">
        <v>3</v>
      </c>
      <c r="G17" s="1"/>
    </row>
    <row r="18" spans="1:7" x14ac:dyDescent="0.25">
      <c r="A18" s="1"/>
      <c r="B18" s="74" t="s">
        <v>26</v>
      </c>
      <c r="C18" s="75"/>
      <c r="D18" s="76"/>
      <c r="E18" s="9">
        <f>SUM(E9:E17)*'Fane 14. Nøgletal'!C11</f>
        <v>121253.86884757623</v>
      </c>
      <c r="F18" s="8" t="s">
        <v>3</v>
      </c>
      <c r="G18" s="1"/>
    </row>
    <row r="19" spans="1:7" x14ac:dyDescent="0.25">
      <c r="A19" s="1"/>
      <c r="B19" s="74" t="s">
        <v>10</v>
      </c>
      <c r="C19" s="75"/>
      <c r="D19" s="76"/>
      <c r="E19" s="9">
        <f>-SUM(E9:E18)*'Fane 5. Individuelt eff. krav'!G10</f>
        <v>-84822.796286439057</v>
      </c>
      <c r="F19" s="8" t="s">
        <v>3</v>
      </c>
      <c r="G19" s="1"/>
    </row>
    <row r="20" spans="1:7" x14ac:dyDescent="0.25">
      <c r="A20" s="1"/>
      <c r="B20" s="74" t="s">
        <v>38</v>
      </c>
      <c r="C20" s="75"/>
      <c r="D20" s="76"/>
      <c r="E20" s="9">
        <f>-'Fane 4.1. Gen. krav - drift'!G20</f>
        <v>-72620.479256629318</v>
      </c>
      <c r="F20" s="8" t="s">
        <v>3</v>
      </c>
      <c r="G20" s="1"/>
    </row>
    <row r="21" spans="1:7" x14ac:dyDescent="0.25">
      <c r="A21" s="1"/>
      <c r="B21" s="74" t="s">
        <v>39</v>
      </c>
      <c r="C21" s="75"/>
      <c r="D21" s="76"/>
      <c r="E21" s="9">
        <f>-'Fane 4.2. Gen. krav - anlæg'!G19</f>
        <v>-33467.796191531466</v>
      </c>
      <c r="F21" s="8" t="s">
        <v>3</v>
      </c>
      <c r="G21" s="1"/>
    </row>
    <row r="22" spans="1:7" x14ac:dyDescent="0.25">
      <c r="A22" s="1"/>
      <c r="B22" s="89" t="s">
        <v>28</v>
      </c>
      <c r="C22" s="90"/>
      <c r="D22" s="91"/>
      <c r="E22" s="10">
        <f>SUM(E9:E21)</f>
        <v>7105127.9360228144</v>
      </c>
      <c r="F22" s="11" t="s">
        <v>3</v>
      </c>
      <c r="G22" s="1"/>
    </row>
    <row r="23" spans="1:7" x14ac:dyDescent="0.25">
      <c r="A23" s="1"/>
      <c r="B23" s="77" t="s">
        <v>17</v>
      </c>
      <c r="C23" s="78"/>
      <c r="D23" s="78"/>
      <c r="E23" s="47"/>
      <c r="F23" s="22"/>
      <c r="G23" s="1"/>
    </row>
    <row r="24" spans="1:7" x14ac:dyDescent="0.25">
      <c r="A24" s="1"/>
      <c r="B24" s="79" t="s">
        <v>17</v>
      </c>
      <c r="C24" s="80"/>
      <c r="D24" s="81"/>
      <c r="E24" s="10">
        <v>12802363.497561308</v>
      </c>
      <c r="F24" s="11" t="s">
        <v>3</v>
      </c>
      <c r="G24" s="1"/>
    </row>
    <row r="25" spans="1:7" x14ac:dyDescent="0.25">
      <c r="A25" s="1"/>
      <c r="B25" s="46" t="s">
        <v>130</v>
      </c>
      <c r="C25" s="47"/>
      <c r="D25" s="47"/>
      <c r="E25" s="47"/>
      <c r="F25" s="22"/>
      <c r="G25" s="1"/>
    </row>
    <row r="26" spans="1:7" ht="27" customHeight="1" x14ac:dyDescent="0.25">
      <c r="A26" s="1"/>
      <c r="B26" s="92" t="s">
        <v>132</v>
      </c>
      <c r="C26" s="93"/>
      <c r="D26" s="94"/>
      <c r="E26" s="10">
        <v>54946.003734843929</v>
      </c>
      <c r="F26" s="11" t="s">
        <v>3</v>
      </c>
      <c r="G26" s="1"/>
    </row>
    <row r="27" spans="1:7" x14ac:dyDescent="0.25">
      <c r="A27" s="1"/>
      <c r="B27" s="46" t="s">
        <v>11</v>
      </c>
      <c r="C27" s="47"/>
      <c r="D27" s="47"/>
      <c r="E27" s="47"/>
      <c r="F27" s="22"/>
      <c r="G27" s="1"/>
    </row>
    <row r="28" spans="1:7" x14ac:dyDescent="0.25">
      <c r="A28" s="1"/>
      <c r="B28" s="79" t="s">
        <v>19</v>
      </c>
      <c r="C28" s="80"/>
      <c r="D28" s="81"/>
      <c r="E28" s="10">
        <v>199295</v>
      </c>
      <c r="F28" s="11" t="s">
        <v>3</v>
      </c>
      <c r="G28" s="1"/>
    </row>
    <row r="29" spans="1:7" x14ac:dyDescent="0.25">
      <c r="A29" s="1"/>
      <c r="B29" s="46" t="s">
        <v>160</v>
      </c>
      <c r="C29" s="47"/>
      <c r="D29" s="47"/>
      <c r="E29" s="47"/>
      <c r="F29" s="22"/>
      <c r="G29" s="1"/>
    </row>
    <row r="30" spans="1:7" x14ac:dyDescent="0.25">
      <c r="A30" s="1"/>
      <c r="B30" s="79" t="s">
        <v>131</v>
      </c>
      <c r="C30" s="80"/>
      <c r="D30" s="81"/>
      <c r="E30" s="10">
        <v>-2235.6127174268527</v>
      </c>
      <c r="F30" s="11" t="s">
        <v>3</v>
      </c>
      <c r="G30" s="1"/>
    </row>
    <row r="31" spans="1:7" x14ac:dyDescent="0.25">
      <c r="A31" s="1"/>
      <c r="B31" s="46" t="s">
        <v>23</v>
      </c>
      <c r="C31" s="47"/>
      <c r="D31" s="47"/>
      <c r="E31" s="12">
        <f>SUM(E28,E26,E24,E22,E30)</f>
        <v>20159496.824601538</v>
      </c>
      <c r="F31" s="13" t="s">
        <v>3</v>
      </c>
      <c r="G31" s="1"/>
    </row>
    <row r="32" spans="1:7" ht="28.15" customHeight="1" x14ac:dyDescent="0.25">
      <c r="A32" s="1"/>
      <c r="B32" s="86" t="s">
        <v>189</v>
      </c>
      <c r="C32" s="87"/>
      <c r="D32" s="87"/>
      <c r="E32" s="87"/>
      <c r="F32" s="88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fPBcX3+cmi3/hh49crfs222CWs4+7y00epCCic0vtpyluR+JbHO3xI+487ED0hTGU8V97tL5LZu9pK84AqWLpw==" saltValue="jPiXB3j3tVr4aJpoZp4ZpA==" spinCount="100000" sheet="1" objects="1" scenarios="1"/>
  <mergeCells count="21"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3695576.0927041653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73911.521854083301</v>
      </c>
      <c r="H7" s="14" t="s">
        <v>3</v>
      </c>
      <c r="I7" s="1"/>
    </row>
    <row r="8" spans="1:9" x14ac:dyDescent="0.25">
      <c r="A8" s="1"/>
      <c r="B8" s="46"/>
      <c r="C8" s="47"/>
      <c r="D8" s="47"/>
      <c r="E8" s="47"/>
      <c r="F8" s="47"/>
      <c r="G8" s="47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3667659.7108998774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73353.194217997545</v>
      </c>
      <c r="H13" s="14" t="s">
        <v>3</v>
      </c>
      <c r="I13" s="1"/>
    </row>
    <row r="14" spans="1:9" x14ac:dyDescent="0.25">
      <c r="A14" s="1"/>
      <c r="B14" s="46"/>
      <c r="C14" s="47"/>
      <c r="D14" s="47"/>
      <c r="E14" s="47"/>
      <c r="F14" s="47"/>
      <c r="G14" s="47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3655050.2968138033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-24026.333982337914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72620.479256629318</v>
      </c>
      <c r="H20" s="14" t="s">
        <v>3</v>
      </c>
      <c r="I20" s="1"/>
    </row>
    <row r="21" spans="1:9" x14ac:dyDescent="0.25">
      <c r="A21" s="1"/>
      <c r="B21" s="46"/>
      <c r="C21" s="47"/>
      <c r="D21" s="47"/>
      <c r="E21" s="47"/>
      <c r="F21" s="47"/>
      <c r="G21" s="47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3618540.5024472503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72370.810048945001</v>
      </c>
      <c r="H26" s="14" t="s">
        <v>3</v>
      </c>
      <c r="I26" s="1"/>
    </row>
    <row r="27" spans="1:9" x14ac:dyDescent="0.25">
      <c r="A27" s="1"/>
      <c r="B27" s="46"/>
      <c r="C27" s="47"/>
      <c r="D27" s="47"/>
      <c r="E27" s="47"/>
      <c r="F27" s="47"/>
      <c r="G27" s="47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3616029.2353385524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72320.584706771057</v>
      </c>
      <c r="H32" s="14" t="s">
        <v>3</v>
      </c>
      <c r="I32" s="1"/>
    </row>
    <row r="33" spans="1:9" x14ac:dyDescent="0.25">
      <c r="A33" s="1"/>
      <c r="B33" s="46"/>
      <c r="C33" s="47"/>
      <c r="D33" s="47"/>
      <c r="E33" s="47"/>
      <c r="F33" s="47"/>
      <c r="G33" s="47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3613519.7110492275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72270.394220984555</v>
      </c>
      <c r="H38" s="14" t="s">
        <v>3</v>
      </c>
      <c r="I38" s="1"/>
    </row>
    <row r="39" spans="1:9" x14ac:dyDescent="0.25">
      <c r="A39" s="1"/>
      <c r="B39" s="46"/>
      <c r="C39" s="47"/>
      <c r="D39" s="47"/>
      <c r="E39" s="47"/>
      <c r="F39" s="47"/>
      <c r="G39" s="47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3611011.9283697596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72220.238567395194</v>
      </c>
      <c r="H44" s="14" t="s">
        <v>3</v>
      </c>
      <c r="I44" s="1"/>
    </row>
    <row r="45" spans="1:9" x14ac:dyDescent="0.25">
      <c r="A45" s="1"/>
      <c r="B45" s="46"/>
      <c r="C45" s="47"/>
      <c r="D45" s="47"/>
      <c r="E45" s="47"/>
      <c r="F45" s="47"/>
      <c r="G45" s="47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5LbVurBvnWvFTblWzmIbjzChaXuPQNhAp9or05BF8j+DVs/s+pTsjZEII+n4n4fValRQ7XtpLWksaxFslzSFRQ==" saltValue="VDxtJAdjLLqjMxErUCgvoQ==" spinCount="100000" sheet="1" objects="1" scenarios="1"/>
  <mergeCells count="29">
    <mergeCell ref="B2:H4"/>
    <mergeCell ref="B5:H5"/>
    <mergeCell ref="B6:F6"/>
    <mergeCell ref="B7:F7"/>
    <mergeCell ref="B11:F11"/>
    <mergeCell ref="B10:H10"/>
    <mergeCell ref="B41:H41"/>
    <mergeCell ref="B42:F42"/>
    <mergeCell ref="B44:F44"/>
    <mergeCell ref="B37:F37"/>
    <mergeCell ref="B43:F43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3550524.232138922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32309.770512464191</v>
      </c>
      <c r="H6" s="14" t="s">
        <v>3</v>
      </c>
      <c r="I6" s="1"/>
    </row>
    <row r="7" spans="1:9" x14ac:dyDescent="0.25">
      <c r="A7" s="1"/>
      <c r="B7" s="46"/>
      <c r="C7" s="47"/>
      <c r="D7" s="47"/>
      <c r="E7" s="47"/>
      <c r="F7" s="47"/>
      <c r="G7" s="47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3562895.7852891139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32422.351646130937</v>
      </c>
      <c r="H12" s="14" t="s">
        <v>3</v>
      </c>
      <c r="I12" s="1"/>
    </row>
    <row r="13" spans="1:9" x14ac:dyDescent="0.25">
      <c r="A13" s="1"/>
      <c r="B13" s="46"/>
      <c r="C13" s="47"/>
      <c r="D13" s="47"/>
      <c r="E13" s="47"/>
      <c r="F13" s="47"/>
      <c r="G13" s="47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3590138.4346715491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-298698.54247941199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555433.23327124992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33467.796191531466</v>
      </c>
      <c r="H19" s="14" t="s">
        <v>3</v>
      </c>
      <c r="I19" s="1"/>
    </row>
    <row r="20" spans="1:9" x14ac:dyDescent="0.25">
      <c r="A20" s="1"/>
      <c r="B20" s="46"/>
      <c r="C20" s="47"/>
      <c r="D20" s="47"/>
      <c r="E20" s="47"/>
      <c r="F20" s="47"/>
      <c r="G20" s="47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3877851.8793365499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106169.68409715361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36752.530378587144</v>
      </c>
      <c r="H25" s="14" t="s">
        <v>3</v>
      </c>
      <c r="I25" s="1"/>
    </row>
    <row r="26" spans="1:9" x14ac:dyDescent="0.25">
      <c r="A26" s="1"/>
      <c r="B26" s="46"/>
      <c r="C26" s="47"/>
      <c r="D26" s="47"/>
      <c r="E26" s="47"/>
      <c r="F26" s="47"/>
      <c r="G26" s="47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4025030.2330063023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114310.858617379</v>
      </c>
      <c r="H31" s="14" t="s">
        <v>3</v>
      </c>
      <c r="I31" s="1"/>
    </row>
    <row r="32" spans="1:9" x14ac:dyDescent="0.25">
      <c r="A32" s="1"/>
      <c r="B32" s="46"/>
      <c r="C32" s="47"/>
      <c r="D32" s="47"/>
      <c r="E32" s="47"/>
      <c r="F32" s="47"/>
      <c r="G32" s="47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3987760.5460643852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113252.39950822854</v>
      </c>
      <c r="H37" s="14" t="s">
        <v>3</v>
      </c>
      <c r="I37" s="1"/>
    </row>
    <row r="38" spans="1:9" x14ac:dyDescent="0.25">
      <c r="A38" s="1"/>
      <c r="B38" s="46"/>
      <c r="C38" s="47"/>
      <c r="D38" s="47"/>
      <c r="E38" s="47"/>
      <c r="F38" s="47"/>
      <c r="G38" s="47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3950835.957043313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112203.74118003009</v>
      </c>
      <c r="H43" s="14" t="s">
        <v>3</v>
      </c>
      <c r="I43" s="1"/>
    </row>
    <row r="44" spans="1:9" x14ac:dyDescent="0.25">
      <c r="A44" s="1"/>
      <c r="B44" s="46"/>
      <c r="C44" s="47"/>
      <c r="D44" s="47"/>
      <c r="E44" s="47"/>
      <c r="F44" s="47"/>
      <c r="G44" s="47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1AetkdJWzmRE3yRcYqxo0MK9IKCg1p25TK6BXtk6lDP/14SLxjiAb545hKvEnS8mlwjJBN6xxi09fv+7WzuVzw==" saltValue="s5M+zfn5HM4myrq23gyEnQ==" spinCount="100000" sheet="1" objects="1" scenarios="1"/>
  <mergeCells count="29"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1.2543369664053877E-2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1.162586935133603E-2</v>
      </c>
      <c r="H10" s="14"/>
      <c r="I10" s="1"/>
    </row>
    <row r="11" spans="1:9" x14ac:dyDescent="0.25">
      <c r="A11" s="1"/>
      <c r="B11" s="46"/>
      <c r="C11" s="47"/>
      <c r="D11" s="47"/>
      <c r="E11" s="47"/>
      <c r="F11" s="47"/>
      <c r="G11" s="47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NMKYiSK54mfIXUDWRRrdjQ3cElwWpNuraz4S4Lj1lPuJygTCIH4o+8jaHyqQ7P9SO0EHbgcZ6LSyqeZ7FQYVPw==" saltValue="zE8MtiOAw3B7AGCpjXwnSg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2019-09-12T11:30:17Z</dcterms:modified>
</cp:coreProperties>
</file>