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olland Vand AS (V12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2" i="32" l="1"/>
  <c r="E11" i="11" l="1"/>
  <c r="E12" i="11"/>
  <c r="E10" i="11"/>
  <c r="E18" i="32" l="1"/>
  <c r="E9" i="32"/>
  <c r="E9" i="40" l="1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21" i="39"/>
  <c r="C20" i="39"/>
  <c r="E13" i="39"/>
  <c r="E12" i="39"/>
  <c r="E29" i="39"/>
  <c r="E28" i="39"/>
  <c r="C37" i="39"/>
  <c r="C36" i="39"/>
  <c r="E21" i="39"/>
  <c r="E20" i="39"/>
  <c r="E37" i="39"/>
  <c r="E36" i="39"/>
  <c r="E14" i="39" l="1"/>
  <c r="C25" i="2" s="1"/>
  <c r="C30" i="39"/>
  <c r="C19" i="22" s="1"/>
  <c r="E30" i="39"/>
  <c r="C20" i="22" s="1"/>
  <c r="C21" i="22" s="1"/>
  <c r="C22" i="39"/>
  <c r="C20" i="15" s="1"/>
  <c r="C38" i="39"/>
  <c r="C19" i="23" s="1"/>
  <c r="E38" i="39"/>
  <c r="C20" i="23" s="1"/>
  <c r="E22" i="39"/>
  <c r="C21" i="15" s="1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3" i="11" l="1"/>
  <c r="C10" i="37" s="1"/>
  <c r="C12" i="37" s="1"/>
  <c r="C13" i="37" s="1"/>
  <c r="C10" i="2" s="1"/>
  <c r="G13" i="11"/>
  <c r="E11" i="21" l="1"/>
  <c r="C11" i="21"/>
  <c r="E11" i="29"/>
  <c r="C11" i="29"/>
  <c r="C13" i="19"/>
  <c r="C14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3" i="11"/>
  <c r="E10" i="37" s="1"/>
  <c r="E12" i="37" s="1"/>
  <c r="E13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<sst xmlns="http://schemas.openxmlformats.org/spreadsheetml/2006/main" count="596" uniqueCount="245">
  <si>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</si>
  <si>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</si>
  <si>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</si>
  <si>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</si>
  <si>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</si>
  <si>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</si>
  <si>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</si>
  <si>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</si>
  <si>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</si>
  <si>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</si>
  <si>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</si>
  <si>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</si>
  <si>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</si>
  <si>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</si>
  <si>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</si>
  <si>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</si>
  <si>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</si>
  <si>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</si>
  <si>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</si>
  <si>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</si>
  <si>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</si>
  <si>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</si>
  <si>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</si>
  <si>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</si>
  <si>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</si>
  <si>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</si>
  <si>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</si>
  <si>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</si>
  <si>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</si>
  <si>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</si>
  <si>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</si>
  <si>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</si>
  <si>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</si>
  <si>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</si>
  <si>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</si>
  <si>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</si>
  <si>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</si>
  <si>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</si>
  <si>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</si>
  <si>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</si>
  <si>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</si>
  <si>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</si>
  <si>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</si>
  <si>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</si>
  <si>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</si>
  <si>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</si>
  <si>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</si>
  <si>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</si>
  <si>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</si>
  <si>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</si>
  <si>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</si>
  <si>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</si>
  <si>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</si>
  <si>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</si>
  <si>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</si>
  <si>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</si>
  <si>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</si>
  <si>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</si>
  <si>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</si>
  <si>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</si>
  <si>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</si>
  <si>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</si>
  <si>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</si>
  <si>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</si>
  <si>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</si>
  <si>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</si>
  <si>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</si>
  <si>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</si>
  <si>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</si>
  <si>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</si>
  <si>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</si>
  <si>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</si>
  <si>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</si>
  <si>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</si>
  <si>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</si>
  <si>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</si>
  <si>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</si>
  <si>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</si>
  <si>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</si>
  <si>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</si>
  <si>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</si>
  <si>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</si>
  <si>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</si>
  <si>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</si>
  <si>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</si>
  <si>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</si>
  <si>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</si>
  <si>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</si>
  <si>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</si>
  <si>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</si>
  <si>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</si>
  <si>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</si>
  <si>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</si>
  <si>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</si>
  <si>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</si>
  <si>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</si>
  <si>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</si>
  <si>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</si>
  <si>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</si>
  <si>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</si>
  <si>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</si>
  <si>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</si>
  <si>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</si>
  <si>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</si>
  <si>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</si>
  <si>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</si>
  <si>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</si>
  <si>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</si>
  <si>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</si>
  <si>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</si>
  <si>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</si>
  <si>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</si>
  <si>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</si>
  <si>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</si>
  <si>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</si>
  <si>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</si>
  <si>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</si>
  <si>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</si>
  <si>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</si>
  <si>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</si>
  <si>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</si>
  <si>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</si>
  <si>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</si>
  <si>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</si>
  <si>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</si>
  <si>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</si>
  <si>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</si>
  <si>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</si>
  <si>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</si>
  <si>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</si>
  <si>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</si>
  <si>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</si>
  <si>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</si>
  <si>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</si>
  <si>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</si>
  <si>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</si>
  <si>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</si>
  <si>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</si>
  <si>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</si>
  <si>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</si>
  <si>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</si>
  <si>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</si>
  <si>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</si>
  <si>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</si>
  <si>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</si>
  <si>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</si>
  <si>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</si>
  <si>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</si>
  <si>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</si>
  <si>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</si>
  <si>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</si>
  <si>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</si>
  <si>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</si>
  <si>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</si>
  <si>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</si>
  <si>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</si>
  <si>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</si>
  <si>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</si>
  <si>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</si>
  <si>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</si>
  <si>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</si>
  <si>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</si>
  <si>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</si>
  <si>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</si>
  <si>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</si>
  <si>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</si>
  <si>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</si>
  <si>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</si>
  <si>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</si>
  <si>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</si>
  <si>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</si>
  <si>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</si>
  <si>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</si>
  <si>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</si>
  <si>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</si>
  <si>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</si>
  <si>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</si>
  <si>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</si>
  <si>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</si>
  <si>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</si>
  <si>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</si>
  <si>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</si>
  <si>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</si>
  <si>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</si>
  <si>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</si>
  <si>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</si>
  <si>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</si>
  <si>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</si>
  <si>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</si>
  <si>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</si>
  <si>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</si>
  <si>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</si>
  <si>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</si>
  <si>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</si>
  <si>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</si>
  <si>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</si>
  <si>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</si>
  <si>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</si>
  <si>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</si>
  <si>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</si>
  <si>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</si>
  <si>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</si>
  <si>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</si>
  <si>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</si>
  <si>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</si>
  <si>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</si>
  <si>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</si>
  <si>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</si>
  <si>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</si>
  <si>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</si>
  <si>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</si>
  <si>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</si>
  <si>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</si>
  <si>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</si>
  <si>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</si>
  <si>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</si>
  <si>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</si>
  <si>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</si>
  <si>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</si>
  <si>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</si>
  <si>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</si>
  <si>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</si>
  <si>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</si>
  <si>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</si>
  <si>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</si>
  <si>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</si>
  <si>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</si>
  <si>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</si>
  <si>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</si>
  <si>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</si>
  <si>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</si>
  <si>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</si>
  <si>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</si>
  <si>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</si>
  <si>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Ø110 mm &lt; Ledningsnet ≤ Ø 250 mm</t>
  </si>
  <si>
    <t>Ventiler på Ø110 mm &lt; Ledningsnet ≤ Ø 250 mm</t>
  </si>
  <si>
    <t>Anlægsprojekter igangsat senest 1. marts 2016</t>
  </si>
  <si>
    <t>Afkørsel 48</t>
  </si>
  <si>
    <t>Ingen engangstillæg</t>
  </si>
  <si>
    <t>Afgift for ledningsført vand</t>
  </si>
  <si>
    <t>Afgift til Forsyningssekretariatet</t>
  </si>
  <si>
    <t>Ejendomsskat</t>
  </si>
  <si>
    <t>Til indregning i den økonomiske ramme for 2020</t>
  </si>
  <si>
    <t>Tillæg/fradrag i den økonomiske ramme for 2020 i alt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</si>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</sst>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>
        <row r="1">
          <cell r="B1" t="str">
            <v>ØR 2018-2021 samt statusmeddelelser</v>
          </cell>
        </row>
      </sheetData>
      <sheetData sheetId="4">
        <row r="1">
          <cell r="A1" t="str">
            <v>AABBABAABBB[</v>
          </cell>
        </row>
      </sheetData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2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25">
      <c r="A8" s="1"/>
      <c r="B8" s="1"/>
      <c r="C8" s="4"/>
      <c r="D8" s="68" t="s">
        <v>192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56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22</v>
      </c>
      <c r="D14" s="63" t="s">
        <v>177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55</v>
      </c>
      <c r="D15" s="63" t="s">
        <v>133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57</v>
      </c>
      <c r="D16" s="63" t="s">
        <v>134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224</v>
      </c>
      <c r="D17" s="63" t="s">
        <v>66</v>
      </c>
      <c r="E17" s="64"/>
      <c r="F17" s="64"/>
      <c r="G17" s="65"/>
      <c r="H17" s="1"/>
      <c r="I17" s="1"/>
    </row>
    <row r="18" spans="1:9" x14ac:dyDescent="0.25">
      <c r="A18" s="1"/>
      <c r="B18" s="1"/>
      <c r="C18" s="34" t="s">
        <v>196</v>
      </c>
      <c r="D18" s="69" t="s">
        <v>162</v>
      </c>
      <c r="E18" s="70"/>
      <c r="F18" s="70"/>
      <c r="G18" s="71"/>
      <c r="H18" s="1"/>
      <c r="I18" s="1"/>
    </row>
    <row r="19" spans="1:9" x14ac:dyDescent="0.25">
      <c r="A19" s="1"/>
      <c r="B19" s="1"/>
      <c r="C19" s="34" t="s">
        <v>197</v>
      </c>
      <c r="D19" s="69" t="s">
        <v>163</v>
      </c>
      <c r="E19" s="70"/>
      <c r="F19" s="70"/>
      <c r="G19" s="71"/>
      <c r="H19" s="1"/>
      <c r="I19" s="1"/>
    </row>
    <row r="20" spans="1:9" x14ac:dyDescent="0.25">
      <c r="A20" s="1"/>
      <c r="B20" s="1"/>
      <c r="C20" s="34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198</v>
      </c>
      <c r="D21" s="60" t="s">
        <v>17</v>
      </c>
      <c r="E21" s="61"/>
      <c r="F21" s="61"/>
      <c r="G21" s="62"/>
      <c r="H21" s="1"/>
      <c r="I21" s="1"/>
    </row>
    <row r="22" spans="1:9" x14ac:dyDescent="0.25">
      <c r="A22" s="1"/>
      <c r="B22" s="1"/>
      <c r="C22" s="6" t="s">
        <v>140</v>
      </c>
      <c r="D22" s="54" t="s">
        <v>161</v>
      </c>
      <c r="E22" s="55"/>
      <c r="F22" s="55"/>
      <c r="G22" s="56"/>
      <c r="H22" s="1"/>
      <c r="I22" s="1"/>
    </row>
    <row r="23" spans="1:9" x14ac:dyDescent="0.25">
      <c r="A23" s="1"/>
      <c r="B23" s="1"/>
      <c r="C23" s="6" t="s">
        <v>8</v>
      </c>
      <c r="D23" s="54" t="s">
        <v>225</v>
      </c>
      <c r="E23" s="55"/>
      <c r="F23" s="55"/>
      <c r="G23" s="56"/>
      <c r="H23" s="1"/>
      <c r="I23" s="1"/>
    </row>
    <row r="24" spans="1:9" x14ac:dyDescent="0.25">
      <c r="A24" s="1"/>
      <c r="B24" s="1"/>
      <c r="C24" s="6" t="s">
        <v>9</v>
      </c>
      <c r="D24" s="54" t="s">
        <v>58</v>
      </c>
      <c r="E24" s="55"/>
      <c r="F24" s="55"/>
      <c r="G24" s="56"/>
      <c r="H24" s="1"/>
      <c r="I24" s="1"/>
    </row>
    <row r="25" spans="1:9" x14ac:dyDescent="0.25">
      <c r="A25" s="1"/>
      <c r="B25" s="1"/>
      <c r="C25" s="6" t="s">
        <v>199</v>
      </c>
      <c r="D25" s="54" t="s">
        <v>141</v>
      </c>
      <c r="E25" s="55"/>
      <c r="F25" s="55"/>
      <c r="G25" s="56"/>
      <c r="H25" s="1"/>
      <c r="I25" s="1"/>
    </row>
    <row r="26" spans="1:9" x14ac:dyDescent="0.25">
      <c r="A26" s="1"/>
      <c r="B26" s="1"/>
      <c r="C26" s="6" t="s">
        <v>200</v>
      </c>
      <c r="D26" s="54" t="s">
        <v>142</v>
      </c>
      <c r="E26" s="55"/>
      <c r="F26" s="55"/>
      <c r="G26" s="56"/>
      <c r="H26" s="1"/>
      <c r="I26" s="1"/>
    </row>
    <row r="27" spans="1:9" x14ac:dyDescent="0.25">
      <c r="A27" s="1"/>
      <c r="B27" s="1"/>
      <c r="C27" s="6" t="s">
        <v>201</v>
      </c>
      <c r="D27" s="54" t="s">
        <v>59</v>
      </c>
      <c r="E27" s="55"/>
      <c r="F27" s="55"/>
      <c r="G27" s="56"/>
      <c r="H27" s="1"/>
      <c r="I27" s="1"/>
    </row>
    <row r="28" spans="1:9" x14ac:dyDescent="0.25">
      <c r="A28" s="1"/>
      <c r="B28" s="1"/>
      <c r="C28" s="6" t="s">
        <v>183</v>
      </c>
      <c r="D28" s="54" t="s">
        <v>60</v>
      </c>
      <c r="E28" s="55"/>
      <c r="F28" s="55"/>
      <c r="G28" s="56"/>
      <c r="H28" s="1"/>
      <c r="I28" s="1"/>
    </row>
    <row r="29" spans="1:9" x14ac:dyDescent="0.25">
      <c r="A29" s="1"/>
      <c r="B29" s="1"/>
      <c r="C29" s="6" t="s">
        <v>61</v>
      </c>
      <c r="D29" s="51" t="s">
        <v>11</v>
      </c>
      <c r="E29" s="52"/>
      <c r="F29" s="52"/>
      <c r="G29" s="53"/>
      <c r="H29" s="1"/>
      <c r="I29" s="1"/>
    </row>
    <row r="30" spans="1:9" x14ac:dyDescent="0.25">
      <c r="A30" s="1"/>
      <c r="B30" s="1"/>
      <c r="C30" s="6" t="s">
        <v>62</v>
      </c>
      <c r="D30" s="57" t="s">
        <v>184</v>
      </c>
      <c r="E30" s="58"/>
      <c r="F30" s="58"/>
      <c r="G30" s="59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qiTGF8xyjXSBuLdBtEzZE12P6xnhFK0PfIq+cpRrKoHXzSQMslbc376T+0fYWmS3qxoc9fM0TTwLBzh3RAgr7Q==" saltValue="n/aNAmPGHxA0T+jfY2nJuQ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39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239</v>
      </c>
      <c r="C10" s="9">
        <v>10320059</v>
      </c>
      <c r="D10" s="14" t="s">
        <v>3</v>
      </c>
      <c r="E10" s="1"/>
      <c r="F10" s="1"/>
    </row>
    <row r="11" spans="1:6" x14ac:dyDescent="0.25">
      <c r="A11" s="1"/>
      <c r="B11" s="48" t="s">
        <v>240</v>
      </c>
      <c r="C11" s="9">
        <v>42635</v>
      </c>
      <c r="D11" s="14" t="s">
        <v>3</v>
      </c>
      <c r="E11" s="1"/>
      <c r="F11" s="1"/>
    </row>
    <row r="12" spans="1:6" x14ac:dyDescent="0.25">
      <c r="A12" s="1"/>
      <c r="B12" s="48" t="s">
        <v>241</v>
      </c>
      <c r="C12" s="9">
        <v>36849</v>
      </c>
      <c r="D12" s="14" t="s">
        <v>3</v>
      </c>
      <c r="E12" s="1"/>
      <c r="F12" s="1"/>
    </row>
    <row r="13" spans="1:6" x14ac:dyDescent="0.25">
      <c r="A13" s="1"/>
      <c r="B13" s="46" t="s">
        <v>71</v>
      </c>
      <c r="C13" s="12">
        <f>SUM(C10:C12)</f>
        <v>10399543</v>
      </c>
      <c r="D13" s="13" t="s">
        <v>3</v>
      </c>
      <c r="E13" s="1"/>
      <c r="F13" s="1"/>
    </row>
    <row r="14" spans="1:6" x14ac:dyDescent="0.25">
      <c r="A14" s="1"/>
      <c r="B14" s="46" t="s">
        <v>72</v>
      </c>
      <c r="C14" s="12">
        <f>C13*(1+'Fane 14. Nøgletal'!C12)^2</f>
        <v>10813320.952842871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dcNTav6AwaDAmyDYD7RXCFwvH+LIheU/SuDf31ICVNjccwNJlAK1bVnHk2G89czXgfas9m9Z/zWB3YHn4Wx/bQ==" saltValue="qLtZ3i5hbrdMug6PGyr77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205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1953086.7983333336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-3974072.3326611742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-2020985.5343278407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2"/>
      <c r="G10" s="1"/>
    </row>
    <row r="11" spans="1:7" ht="28.5" customHeight="1" x14ac:dyDescent="0.25">
      <c r="A11" s="1"/>
      <c r="B11" s="86" t="s">
        <v>188</v>
      </c>
      <c r="C11" s="87"/>
      <c r="D11" s="87"/>
      <c r="E11" s="87"/>
      <c r="F11" s="8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40556539.777703516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40816942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-260402.22229648381</v>
      </c>
      <c r="F18" s="17" t="s">
        <v>3</v>
      </c>
      <c r="G18" s="1"/>
    </row>
    <row r="19" spans="1:7" x14ac:dyDescent="0.25">
      <c r="A19" s="1"/>
      <c r="B19" s="46"/>
      <c r="C19" s="47"/>
      <c r="D19" s="47"/>
      <c r="E19" s="47"/>
      <c r="F19" s="22"/>
      <c r="G19" s="1"/>
    </row>
    <row r="20" spans="1:7" ht="30" customHeight="1" x14ac:dyDescent="0.25">
      <c r="A20" s="1"/>
      <c r="B20" s="86" t="s">
        <v>189</v>
      </c>
      <c r="C20" s="87"/>
      <c r="D20" s="87"/>
      <c r="E20" s="87"/>
      <c r="F20" s="8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45548769.775448762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44284511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1264258.7754487619</v>
      </c>
      <c r="F27" s="17" t="s">
        <v>3</v>
      </c>
      <c r="G27" s="1"/>
    </row>
    <row r="28" spans="1:7" x14ac:dyDescent="0.25">
      <c r="A28" s="1"/>
      <c r="B28" s="46"/>
      <c r="C28" s="47"/>
      <c r="D28" s="47"/>
      <c r="E28" s="47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242</v>
      </c>
      <c r="C31" s="96"/>
      <c r="D31" s="96"/>
      <c r="E31" s="96"/>
      <c r="F31" s="97"/>
      <c r="G31" s="1"/>
    </row>
    <row r="32" spans="1:7" x14ac:dyDescent="0.25">
      <c r="A32" s="1"/>
      <c r="B32" s="106" t="s">
        <v>243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AND(E27&gt;0,E27&gt;(E18+E27),(E18+E27)&gt;0),-E18,IF(E27+E9+E18&gt;0,E27-(E27+E9+E18),IF(E27+E9+E18=0,E27,IF(AND(E27&gt;0,E27+E9+E18&lt;0),E27,0)))),0)))))</f>
        <v>-880291.65601567831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HOdwyXpJQT0pIBIvcHg24BKnIxb0WT+8d4jleQ92u70ZNMcZKe89NHcqkXoktVEK1k/mFXlhMn4OxD2JI507w==" saltValue="NGqYXr9eeYqOn9LXiCkkJQ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228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92" t="s">
        <v>164</v>
      </c>
      <c r="C9" s="93"/>
      <c r="D9" s="94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55517.892612102674</v>
      </c>
      <c r="F9" s="11" t="s">
        <v>3</v>
      </c>
      <c r="G9" s="1"/>
    </row>
    <row r="10" spans="1:7" x14ac:dyDescent="0.25">
      <c r="A10" s="1"/>
      <c r="B10" s="46" t="s">
        <v>175</v>
      </c>
      <c r="C10" s="47"/>
      <c r="D10" s="47"/>
      <c r="E10" s="12">
        <f>E9</f>
        <v>55517.892612102674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mNDmiC4eq5VbRP1Bo4cspeU51BLdRyff+AfykXNeFJUS0g1ynQD88LaaM10MTlvINnxfhroHtOCNNYq8BPC0dg==" saltValue="/cqC8y1wS5r7l9fDdvSab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ht="26.25" x14ac:dyDescent="0.25">
      <c r="A10" s="1"/>
      <c r="B10" s="115" t="s">
        <v>234</v>
      </c>
      <c r="C10" s="116">
        <v>75</v>
      </c>
      <c r="D10" s="9">
        <v>1179375</v>
      </c>
      <c r="E10" s="9">
        <f>IFERROR(D10/C10,0)</f>
        <v>15725</v>
      </c>
      <c r="F10" s="9">
        <v>0</v>
      </c>
      <c r="G10" s="9">
        <v>43432</v>
      </c>
      <c r="H10" s="14" t="s">
        <v>3</v>
      </c>
      <c r="I10" s="1"/>
    </row>
    <row r="11" spans="1:9" ht="26.25" x14ac:dyDescent="0.25">
      <c r="A11" s="1"/>
      <c r="B11" s="115" t="s">
        <v>234</v>
      </c>
      <c r="C11" s="116">
        <v>75</v>
      </c>
      <c r="D11" s="9">
        <v>1280544</v>
      </c>
      <c r="E11" s="9">
        <f t="shared" ref="E11:E12" si="0">IFERROR(D11/C11,0)</f>
        <v>17073.919999999998</v>
      </c>
      <c r="F11" s="9">
        <v>0</v>
      </c>
      <c r="G11" s="9">
        <v>47158</v>
      </c>
      <c r="H11" s="14" t="s">
        <v>3</v>
      </c>
      <c r="I11" s="1"/>
    </row>
    <row r="12" spans="1:9" ht="26.25" x14ac:dyDescent="0.25">
      <c r="A12" s="1"/>
      <c r="B12" s="115" t="s">
        <v>235</v>
      </c>
      <c r="C12" s="116">
        <v>75</v>
      </c>
      <c r="D12" s="9">
        <v>54894</v>
      </c>
      <c r="E12" s="9">
        <f t="shared" si="0"/>
        <v>731.92</v>
      </c>
      <c r="F12" s="9">
        <v>0</v>
      </c>
      <c r="G12" s="9">
        <v>2022</v>
      </c>
      <c r="H12" s="14" t="s">
        <v>3</v>
      </c>
      <c r="I12" s="1"/>
    </row>
    <row r="13" spans="1:9" x14ac:dyDescent="0.25">
      <c r="A13" s="1"/>
      <c r="B13" s="95" t="s">
        <v>231</v>
      </c>
      <c r="C13" s="96"/>
      <c r="D13" s="97"/>
      <c r="E13" s="12">
        <f>SUM(E10:E12)</f>
        <v>33530.839999999997</v>
      </c>
      <c r="F13" s="12">
        <f t="shared" ref="F13:G13" si="1">SUM(F10:F12)</f>
        <v>0</v>
      </c>
      <c r="G13" s="12">
        <f t="shared" si="1"/>
        <v>92612</v>
      </c>
      <c r="H13" s="13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HGUVua5IPXDbC27y+XIW9yXyYqUgCjkoV3JFH1f8SHga8g1rng0SkdAEPJbbEAQcQm8is98dnZcWAwnRA2FvGg==" saltValue="gj466hiS+8XuEbFKZbqCwA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236</v>
      </c>
      <c r="C10" s="24">
        <f>'Fane 9. Anlægsprojekter'!F13</f>
        <v>0</v>
      </c>
      <c r="D10" s="14" t="s">
        <v>3</v>
      </c>
      <c r="E10" s="9">
        <f>SUM('Fane 9. Anlægsprojekter'!E13,'Fane 9. Anlægsprojekter'!G13)</f>
        <v>126142.84</v>
      </c>
      <c r="F10" s="14" t="s">
        <v>3</v>
      </c>
      <c r="G10" s="1"/>
    </row>
    <row r="11" spans="1:7" x14ac:dyDescent="0.25">
      <c r="A11" s="1"/>
      <c r="B11" s="117" t="s">
        <v>237</v>
      </c>
      <c r="C11" s="24">
        <v>0</v>
      </c>
      <c r="D11" s="14" t="s">
        <v>3</v>
      </c>
      <c r="E11" s="9">
        <v>7509</v>
      </c>
      <c r="F11" s="14" t="s">
        <v>3</v>
      </c>
      <c r="G11" s="1"/>
    </row>
    <row r="12" spans="1:7" x14ac:dyDescent="0.25">
      <c r="A12" s="1"/>
      <c r="B12" s="46" t="s">
        <v>63</v>
      </c>
      <c r="C12" s="12">
        <f>SUM(C10:C11)</f>
        <v>0</v>
      </c>
      <c r="D12" s="13" t="s">
        <v>3</v>
      </c>
      <c r="E12" s="12">
        <f>SUM(E10:E11)</f>
        <v>133651.84</v>
      </c>
      <c r="F12" s="13" t="s">
        <v>3</v>
      </c>
      <c r="G12" s="1"/>
    </row>
    <row r="13" spans="1:7" x14ac:dyDescent="0.25">
      <c r="A13" s="1"/>
      <c r="B13" s="46" t="s">
        <v>74</v>
      </c>
      <c r="C13" s="12">
        <f>C12*(1+'Fane 14. Nøgletal'!C12)</f>
        <v>0</v>
      </c>
      <c r="D13" s="13" t="s">
        <v>3</v>
      </c>
      <c r="E13" s="12">
        <f>E12*(1+'Fane 14. Nøgletal'!C12)</f>
        <v>136284.78124800001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algorithmName="SHA-512" hashValue="eUhnK3UecASQy+4OlIZxjbckI6EePMjSP7X+LAYRjdwAC0iD7UlllcqWve/okgXLU+56KYnCnDIH54tZV459yQ==" saltValue="VqieX0YbUXVw7oI/04kWA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238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25">
      <c r="A18" s="1"/>
      <c r="B18" s="27" t="s">
        <v>238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25">
      <c r="A26" s="1"/>
      <c r="B26" s="27" t="s">
        <v>238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25">
      <c r="A34" s="1"/>
      <c r="B34" s="27" t="s">
        <v>238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BE/7z/mcVsC91zH+2nhQX2hF6h29UUBiVNG7nzRKo367wI1cQBXNi2SuQgLHznCKNcH3/G0zWBcGLm4f7a06sQ==" saltValue="02SRlZeZ89gR0h5Oh+g+P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208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32</v>
      </c>
      <c r="C9" s="92" t="s">
        <v>16</v>
      </c>
      <c r="D9" s="94"/>
      <c r="E9" s="92" t="s">
        <v>47</v>
      </c>
      <c r="F9" s="94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N7BzxP7dKeEDEE8ul/uxM18YATF5v0z0A5cQHs7TiFqqh6hDUnERYuFISUT51ZA1PpORzpLeBpumFAJuMZhESA==" saltValue="tnTIzEhSINBXbrUgFUT1n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209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Zy5ZfxfIfrO9wvwNbuGzAcVctCbm2/btsb/uocO+sa33TXZHGc8fL+NWkk8b0xSMMMykmYGaZFxtjFnXDcTA3w==" saltValue="xY+p1xVLw/E6oSqvfL79E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-1437552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1134990.6216931217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-302561.37830687826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302561.37830687826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WvsPRdHly3WC79G5WrrkBK1d3m5bq2xWg3eRgWkK+NvOWc96R38/mi1UUp1BKVwMPrD/KDjJdCaiS6NvhNnBgA==" saltValue="N6BNwW3zUpDKgAYe+ILGF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2" t="s">
        <v>54</v>
      </c>
      <c r="C3" s="82"/>
      <c r="D3" s="1"/>
    </row>
    <row r="4" spans="1:4" ht="25.5" customHeight="1" x14ac:dyDescent="0.25">
      <c r="A4" s="1"/>
      <c r="B4" s="82"/>
      <c r="C4" s="8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46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6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46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74Te20pB62baxL0ZaoOQeuxcAWP8QbwNP2AEi78XtnZ2s4LjIYtmqz9fMcRRABoS6d86fRgupEm4VMj+uMDAhw==" saltValue="WK7qpT2Rvsb05BvY5z677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x14ac:dyDescent="0.25">
      <c r="A9" s="1"/>
      <c r="B9" s="45" t="s">
        <v>34</v>
      </c>
      <c r="C9" s="7">
        <f>'Fane 3. Omkostninger i ØR2019'!E22</f>
        <v>33536350.427896276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tillæg'!E13</f>
        <v>136284.78124800001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569449.13242203253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-652192.03339179186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-244430.86835803874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-210589.9813471146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33134871.458469369</v>
      </c>
      <c r="D20" s="11" t="s">
        <v>3</v>
      </c>
      <c r="E20" s="1"/>
    </row>
    <row r="21" spans="1:5" ht="15" customHeight="1" x14ac:dyDescent="0.25">
      <c r="A21" s="1"/>
      <c r="B21" s="46" t="s">
        <v>17</v>
      </c>
      <c r="C21" s="47"/>
      <c r="D21" s="22"/>
      <c r="E21" s="1"/>
    </row>
    <row r="22" spans="1:5" ht="15" customHeight="1" x14ac:dyDescent="0.25">
      <c r="A22" s="1"/>
      <c r="B22" s="40" t="s">
        <v>17</v>
      </c>
      <c r="C22" s="10">
        <f>'Fane 6. Ikke-påvirkelige omk.'!C14</f>
        <v>10813320.952842871</v>
      </c>
      <c r="D22" s="11" t="s">
        <v>3</v>
      </c>
      <c r="E22" s="1"/>
    </row>
    <row r="23" spans="1:5" ht="15" customHeight="1" x14ac:dyDescent="0.25">
      <c r="A23" s="1"/>
      <c r="B23" s="46" t="s">
        <v>142</v>
      </c>
      <c r="C23" s="47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6" t="s">
        <v>11</v>
      </c>
      <c r="C27" s="47"/>
      <c r="D27" s="22"/>
      <c r="E27" s="1"/>
    </row>
    <row r="28" spans="1:5" ht="15" customHeight="1" x14ac:dyDescent="0.25">
      <c r="A28" s="1"/>
      <c r="B28" s="40" t="s">
        <v>19</v>
      </c>
      <c r="C28" s="10">
        <f>'Fane 13. Hist. over-underdæk.'!G14</f>
        <v>302561.37830687826</v>
      </c>
      <c r="D28" s="11" t="s">
        <v>3</v>
      </c>
      <c r="E28" s="1"/>
    </row>
    <row r="29" spans="1:5" ht="15" customHeight="1" x14ac:dyDescent="0.25">
      <c r="A29" s="1"/>
      <c r="B29" s="46" t="s">
        <v>53</v>
      </c>
      <c r="C29" s="47"/>
      <c r="D29" s="22"/>
      <c r="E29" s="1"/>
    </row>
    <row r="30" spans="1:5" x14ac:dyDescent="0.25">
      <c r="A30" s="1"/>
      <c r="B30" s="40" t="s">
        <v>218</v>
      </c>
      <c r="C30" s="10">
        <f>'Fane 7. Kontrol af ØR2018'!E32</f>
        <v>-880291.65601567831</v>
      </c>
      <c r="D30" s="11" t="s">
        <v>3</v>
      </c>
      <c r="E30" s="1"/>
    </row>
    <row r="31" spans="1:5" x14ac:dyDescent="0.25">
      <c r="A31" s="1"/>
      <c r="B31" s="46" t="s">
        <v>225</v>
      </c>
      <c r="C31" s="47"/>
      <c r="D31" s="22"/>
      <c r="E31" s="1"/>
    </row>
    <row r="32" spans="1:5" x14ac:dyDescent="0.25">
      <c r="A32" s="1"/>
      <c r="B32" s="40" t="s">
        <v>226</v>
      </c>
      <c r="C32" s="10">
        <f>'Fane 8. Korrektioner'!E10</f>
        <v>55517.892612102674</v>
      </c>
      <c r="D32" s="11" t="s">
        <v>3</v>
      </c>
      <c r="E32" s="1"/>
    </row>
    <row r="33" spans="1:5" x14ac:dyDescent="0.25">
      <c r="A33" s="1"/>
      <c r="B33" s="46" t="s">
        <v>35</v>
      </c>
      <c r="C33" s="33">
        <f>SUM(C20,C22,C26,C28,C30,C32)</f>
        <v>43425980.026215538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tmhA4gKNGJVNRYs+WDrwbk63oPb6T3fuOxDd0Nya269W4s8s9CLkrsh/SNYFP9fZNACS9HJrUSqrV915GGuSEQ==" saltValue="eCGT0TL8qZX0oefEPgICC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ht="15" customHeight="1" x14ac:dyDescent="0.25">
      <c r="A9" s="1"/>
      <c r="B9" s="45" t="s">
        <v>36</v>
      </c>
      <c r="C9" s="7">
        <f>'Fane 2.1. Økonomisk ramme 2020'!C20</f>
        <v>33134871.458469369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652756.9677318465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-643536.23649075173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-244261.23333539828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-685774.29227638303</v>
      </c>
      <c r="D15" s="8" t="s">
        <v>3</v>
      </c>
      <c r="E15" s="1"/>
    </row>
    <row r="16" spans="1:5" ht="15" customHeight="1" x14ac:dyDescent="0.25">
      <c r="A16" s="1"/>
      <c r="B16" s="39" t="s">
        <v>28</v>
      </c>
      <c r="C16" s="10">
        <f>SUM(C9:C15)</f>
        <v>32214056.664098684</v>
      </c>
      <c r="D16" s="11" t="s">
        <v>3</v>
      </c>
      <c r="E16" s="1"/>
    </row>
    <row r="17" spans="1:5" x14ac:dyDescent="0.25">
      <c r="A17" s="1"/>
      <c r="B17" s="46" t="s">
        <v>17</v>
      </c>
      <c r="C17" s="47"/>
      <c r="D17" s="22"/>
      <c r="E17" s="1"/>
    </row>
    <row r="18" spans="1:5" ht="15" customHeight="1" x14ac:dyDescent="0.25">
      <c r="A18" s="1"/>
      <c r="B18" s="40" t="s">
        <v>17</v>
      </c>
      <c r="C18" s="10">
        <f>'Fane 6. Ikke-påvirkelige omk.'!C14*(1+'Fane 14. Nøgletal'!C12)</f>
        <v>11026343.375613876</v>
      </c>
      <c r="D18" s="11" t="s">
        <v>3</v>
      </c>
      <c r="E18" s="1"/>
    </row>
    <row r="19" spans="1:5" ht="15" customHeight="1" x14ac:dyDescent="0.25">
      <c r="A19" s="1"/>
      <c r="B19" s="46" t="s">
        <v>142</v>
      </c>
      <c r="C19" s="47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6" t="s">
        <v>160</v>
      </c>
      <c r="C23" s="47"/>
      <c r="D23" s="22"/>
      <c r="E23" s="1"/>
    </row>
    <row r="24" spans="1:5" ht="15" customHeight="1" x14ac:dyDescent="0.25">
      <c r="A24" s="1"/>
      <c r="B24" s="40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46" t="s">
        <v>44</v>
      </c>
      <c r="C25" s="12">
        <f>SUM(C16,C18,C22,C24)</f>
        <v>43240400.039712563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jINeqPHuzpT9uADvQrwWA3SloUSEupWZE+tR0VJq75A97yi+su42BG95y0J82eCW3BeltrSoNN2uX3wtKzp8hw==" saltValue="6VSXja5FdcPReHKO9u7lp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37</v>
      </c>
      <c r="C8" s="7">
        <f>'Fane 2.2. Økonomisk ramme 2021'!C16</f>
        <v>32214056.664098684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634616.91628274403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-625652.42824912188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-244091.71603946356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-679424.37893253576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31299505.057160307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omk.'!C14*(1+'Fane 14. Nøgletal'!C12)^2</f>
        <v>11243562.340113468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160</v>
      </c>
      <c r="C22" s="47"/>
      <c r="D22" s="22"/>
      <c r="E22" s="1"/>
    </row>
    <row r="23" spans="1:5" ht="15" customHeight="1" x14ac:dyDescent="0.25">
      <c r="A23" s="1"/>
      <c r="B23" s="40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46" t="s">
        <v>45</v>
      </c>
      <c r="C24" s="12">
        <f>SUM(C15,C17,C21,C23)</f>
        <v>42543067.397273779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D1ncslCZ05HvY67tgqBDobIg9jN4qzEIfNEIJUI5N0NTU4q4OqVVeYYbPR9MaeuTUfjmhLx2O/7am0hxDlLuLQ==" saltValue="y+kTxMlnCkWttbgul/ek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244</v>
      </c>
      <c r="C8" s="7">
        <f>'Fane 2.3. Økonomisk ramme 2022'!C15</f>
        <v>31299505.057160307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616600.24962605804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-607890.26188781986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-243922.31638853214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-673133.26248429751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30391159.466025718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omk.'!C14*(1+'Fane 14. Nøgletal'!C12)^3</f>
        <v>11465060.518213704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154</v>
      </c>
      <c r="C22" s="12">
        <f>SUM(C15,C17,C21)</f>
        <v>41856219.984239422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RKs9tBLrHUtRS/ERY7k5eRcVNksjCTQlgP0cQOuroVq3S0BJFetkY5JpUSq9Z3qpfI6Rqjo5mhQmcJ954eHcDg==" saltValue="OFSQl1WtUC4iHRXU1k2p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221</v>
      </c>
      <c r="C3" s="82"/>
      <c r="D3" s="82"/>
      <c r="E3" s="82"/>
      <c r="F3" s="82"/>
      <c r="G3" s="1"/>
    </row>
    <row r="4" spans="1:7" ht="29.2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84</v>
      </c>
      <c r="C8" s="47"/>
      <c r="D8" s="47"/>
      <c r="E8" s="47"/>
      <c r="F8" s="22"/>
      <c r="G8" s="1"/>
    </row>
    <row r="9" spans="1:7" x14ac:dyDescent="0.25">
      <c r="A9" s="1"/>
      <c r="B9" s="83" t="s">
        <v>81</v>
      </c>
      <c r="C9" s="84"/>
      <c r="D9" s="85"/>
      <c r="E9" s="7">
        <v>33338565.920628391</v>
      </c>
      <c r="F9" s="8" t="s">
        <v>3</v>
      </c>
      <c r="G9" s="1"/>
    </row>
    <row r="10" spans="1:7" x14ac:dyDescent="0.25">
      <c r="A10" s="1"/>
      <c r="B10" s="83" t="s">
        <v>82</v>
      </c>
      <c r="C10" s="84"/>
      <c r="D10" s="85"/>
      <c r="E10" s="7">
        <v>0</v>
      </c>
      <c r="F10" s="8" t="s">
        <v>3</v>
      </c>
      <c r="G10" s="1"/>
    </row>
    <row r="11" spans="1:7" x14ac:dyDescent="0.25">
      <c r="A11" s="1"/>
      <c r="B11" s="83" t="s">
        <v>83</v>
      </c>
      <c r="C11" s="84"/>
      <c r="D11" s="85"/>
      <c r="E11" s="7">
        <v>398507.05327764218</v>
      </c>
      <c r="F11" s="8" t="s">
        <v>3</v>
      </c>
      <c r="G11" s="1"/>
    </row>
    <row r="12" spans="1:7" x14ac:dyDescent="0.25">
      <c r="A12" s="1"/>
      <c r="B12" s="74" t="s">
        <v>67</v>
      </c>
      <c r="C12" s="75"/>
      <c r="D12" s="76"/>
      <c r="E12" s="7">
        <v>0</v>
      </c>
      <c r="F12" s="8" t="s">
        <v>3</v>
      </c>
      <c r="G12" s="1"/>
    </row>
    <row r="13" spans="1:7" x14ac:dyDescent="0.25">
      <c r="A13" s="1"/>
      <c r="B13" s="74" t="s">
        <v>68</v>
      </c>
      <c r="C13" s="75"/>
      <c r="D13" s="76"/>
      <c r="E13" s="9">
        <v>333643.87309999997</v>
      </c>
      <c r="F13" s="8" t="s">
        <v>3</v>
      </c>
      <c r="G13" s="1"/>
    </row>
    <row r="14" spans="1:7" x14ac:dyDescent="0.25">
      <c r="A14" s="1"/>
      <c r="B14" s="74" t="s">
        <v>41</v>
      </c>
      <c r="C14" s="75"/>
      <c r="D14" s="76"/>
      <c r="E14" s="9">
        <v>0</v>
      </c>
      <c r="F14" s="8" t="s">
        <v>3</v>
      </c>
      <c r="G14" s="1"/>
    </row>
    <row r="15" spans="1:7" x14ac:dyDescent="0.25">
      <c r="A15" s="1"/>
      <c r="B15" s="74" t="s">
        <v>40</v>
      </c>
      <c r="C15" s="75"/>
      <c r="D15" s="76"/>
      <c r="E15" s="9">
        <v>0</v>
      </c>
      <c r="F15" s="8" t="s">
        <v>3</v>
      </c>
      <c r="G15" s="1"/>
    </row>
    <row r="16" spans="1:7" x14ac:dyDescent="0.25">
      <c r="A16" s="1"/>
      <c r="B16" s="74" t="s">
        <v>43</v>
      </c>
      <c r="C16" s="75"/>
      <c r="D16" s="76"/>
      <c r="E16" s="9">
        <v>0</v>
      </c>
      <c r="F16" s="8" t="s">
        <v>3</v>
      </c>
      <c r="G16" s="1"/>
    </row>
    <row r="17" spans="1:7" x14ac:dyDescent="0.25">
      <c r="A17" s="1"/>
      <c r="B17" s="74" t="s">
        <v>42</v>
      </c>
      <c r="C17" s="75"/>
      <c r="D17" s="76"/>
      <c r="E17" s="9">
        <v>0</v>
      </c>
      <c r="F17" s="8" t="s">
        <v>3</v>
      </c>
      <c r="G17" s="1"/>
    </row>
    <row r="18" spans="1:7" x14ac:dyDescent="0.25">
      <c r="A18" s="1"/>
      <c r="B18" s="74" t="s">
        <v>26</v>
      </c>
      <c r="C18" s="75"/>
      <c r="D18" s="76"/>
      <c r="E18" s="9">
        <f>SUM(E9:E17)*'Fane 14. Nøgletal'!C11</f>
        <v>575795.11471440189</v>
      </c>
      <c r="F18" s="8" t="s">
        <v>3</v>
      </c>
      <c r="G18" s="1"/>
    </row>
    <row r="19" spans="1:7" x14ac:dyDescent="0.25">
      <c r="A19" s="1"/>
      <c r="B19" s="74" t="s">
        <v>10</v>
      </c>
      <c r="C19" s="75"/>
      <c r="D19" s="76"/>
      <c r="E19" s="9">
        <f>-SUM(E9:E18)*'Fane 5. Individuelt eff. krav'!G10</f>
        <v>-659894.96611390822</v>
      </c>
      <c r="F19" s="8" t="s">
        <v>3</v>
      </c>
      <c r="G19" s="1"/>
    </row>
    <row r="20" spans="1:7" x14ac:dyDescent="0.25">
      <c r="A20" s="1"/>
      <c r="B20" s="74" t="s">
        <v>38</v>
      </c>
      <c r="C20" s="75"/>
      <c r="D20" s="76"/>
      <c r="E20" s="9">
        <f>-'Fane 4.1. Gen. krav - drift'!G20</f>
        <v>-245274.12078529861</v>
      </c>
      <c r="F20" s="8" t="s">
        <v>3</v>
      </c>
      <c r="G20" s="1"/>
    </row>
    <row r="21" spans="1:7" x14ac:dyDescent="0.25">
      <c r="A21" s="1"/>
      <c r="B21" s="74" t="s">
        <v>39</v>
      </c>
      <c r="C21" s="75"/>
      <c r="D21" s="76"/>
      <c r="E21" s="9">
        <f>-'Fane 4.2. Gen. krav - anlæg'!G19</f>
        <v>-204992.44692494566</v>
      </c>
      <c r="F21" s="8" t="s">
        <v>3</v>
      </c>
      <c r="G21" s="1"/>
    </row>
    <row r="22" spans="1:7" x14ac:dyDescent="0.25">
      <c r="A22" s="1"/>
      <c r="B22" s="89" t="s">
        <v>28</v>
      </c>
      <c r="C22" s="90"/>
      <c r="D22" s="91"/>
      <c r="E22" s="10">
        <f>SUM(E9:E21)</f>
        <v>33536350.427896276</v>
      </c>
      <c r="F22" s="11" t="s">
        <v>3</v>
      </c>
      <c r="G22" s="1"/>
    </row>
    <row r="23" spans="1:7" x14ac:dyDescent="0.25">
      <c r="A23" s="1"/>
      <c r="B23" s="77" t="s">
        <v>17</v>
      </c>
      <c r="C23" s="78"/>
      <c r="D23" s="78"/>
      <c r="E23" s="47"/>
      <c r="F23" s="22"/>
      <c r="G23" s="1"/>
    </row>
    <row r="24" spans="1:7" x14ac:dyDescent="0.25">
      <c r="A24" s="1"/>
      <c r="B24" s="79" t="s">
        <v>17</v>
      </c>
      <c r="C24" s="80"/>
      <c r="D24" s="81"/>
      <c r="E24" s="10">
        <v>10151272.014690647</v>
      </c>
      <c r="F24" s="11" t="s">
        <v>3</v>
      </c>
      <c r="G24" s="1"/>
    </row>
    <row r="25" spans="1:7" x14ac:dyDescent="0.2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25">
      <c r="A26" s="1"/>
      <c r="B26" s="92" t="s">
        <v>132</v>
      </c>
      <c r="C26" s="93"/>
      <c r="D26" s="94"/>
      <c r="E26" s="10">
        <v>50049.356949755951</v>
      </c>
      <c r="F26" s="11" t="s">
        <v>3</v>
      </c>
      <c r="G26" s="1"/>
    </row>
    <row r="27" spans="1:7" x14ac:dyDescent="0.25">
      <c r="A27" s="1"/>
      <c r="B27" s="46" t="s">
        <v>11</v>
      </c>
      <c r="C27" s="47"/>
      <c r="D27" s="47"/>
      <c r="E27" s="47"/>
      <c r="F27" s="22"/>
      <c r="G27" s="1"/>
    </row>
    <row r="28" spans="1:7" x14ac:dyDescent="0.25">
      <c r="A28" s="1"/>
      <c r="B28" s="79" t="s">
        <v>19</v>
      </c>
      <c r="C28" s="80"/>
      <c r="D28" s="81"/>
      <c r="E28" s="10">
        <v>302562</v>
      </c>
      <c r="F28" s="11" t="s">
        <v>3</v>
      </c>
      <c r="G28" s="1"/>
    </row>
    <row r="29" spans="1:7" x14ac:dyDescent="0.25">
      <c r="A29" s="1"/>
      <c r="B29" s="46" t="s">
        <v>160</v>
      </c>
      <c r="C29" s="47"/>
      <c r="D29" s="47"/>
      <c r="E29" s="47"/>
      <c r="F29" s="22"/>
      <c r="G29" s="1"/>
    </row>
    <row r="30" spans="1:7" x14ac:dyDescent="0.25">
      <c r="A30" s="1"/>
      <c r="B30" s="79" t="s">
        <v>131</v>
      </c>
      <c r="C30" s="80"/>
      <c r="D30" s="81"/>
      <c r="E30" s="10">
        <v>-1197861.3905577329</v>
      </c>
      <c r="F30" s="11" t="s">
        <v>3</v>
      </c>
      <c r="G30" s="1"/>
    </row>
    <row r="31" spans="1:7" x14ac:dyDescent="0.25">
      <c r="A31" s="1"/>
      <c r="B31" s="46" t="s">
        <v>23</v>
      </c>
      <c r="C31" s="47"/>
      <c r="D31" s="47"/>
      <c r="E31" s="12">
        <f>SUM(E28,E26,E24,E22,E30)</f>
        <v>42842372.408978939</v>
      </c>
      <c r="F31" s="13" t="s">
        <v>3</v>
      </c>
      <c r="G31" s="1"/>
    </row>
    <row r="32" spans="1:7" ht="28.15" customHeight="1" x14ac:dyDescent="0.25">
      <c r="A32" s="1"/>
      <c r="B32" s="86" t="s">
        <v>189</v>
      </c>
      <c r="C32" s="87"/>
      <c r="D32" s="87"/>
      <c r="E32" s="87"/>
      <c r="F32" s="88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PHZioWrQ39omGev898P/e3OKODE+qUPMNY6B7d29usDzBiolD1zulbMdFKATSRNuVsvRPisc4M/mU3YuDgcsRQ==" saltValue="mPTfJpq1ft080kt21x1g/Q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12399681.308398679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247993.62616797359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12306014.115795035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246120.28231590069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12263706.03926493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0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245274.12078529861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12221543.417901937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244430.86835803874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12213061.666769914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244261.23333539828</v>
      </c>
      <c r="H32" s="14" t="s">
        <v>3</v>
      </c>
      <c r="I32" s="1"/>
    </row>
    <row r="33" spans="1:9" x14ac:dyDescent="0.2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12204585.801973177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244091.71603946356</v>
      </c>
      <c r="H38" s="14" t="s">
        <v>3</v>
      </c>
      <c r="I38" s="1"/>
    </row>
    <row r="39" spans="1:9" x14ac:dyDescent="0.2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12196115.819426607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243922.31638853214</v>
      </c>
      <c r="H44" s="14" t="s">
        <v>3</v>
      </c>
      <c r="I44" s="1"/>
    </row>
    <row r="45" spans="1:9" x14ac:dyDescent="0.2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NNt56sJG8lTxdgphOb07nC8ONEbnvfOkcWQFgNH+/+mwuKsRkVy3+BEUN2Kbkdc+j00WRC/+TMnZoMQtg9gng==" saltValue="zB6iBqXyLqd/7oq1OWmWfQ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22566050.143720936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205351.05630786053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22644679.965823222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206066.58768899133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22817825.9442247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405241.8224780343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339282.45455538994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204992.44692494566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23752097.120719403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138969.59143858563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210589.9813471146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24146982.12240785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685774.29227638303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23923393.624385059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679424.37893253576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23701875.43958794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673133.26248429751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SWGPaEcDj2ZK+ZfLcCIjlwdvvgGv+QoT89wqhjiDIEfIvl5PedHkLXRNmX2wCeDI/R2ZBXTX58hmwKybbAEwA==" saltValue="0xCY09AtaQ3kaJHff5tsaQ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1.6649685909761982E-2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1.904650508088665E-2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pSdexobN353EyF6dih4ELyChsCLhrAvVj5JlTVkhJUNy5G70uSkZcc1I5Btgj2URpmSbo/o1DnTzLhpGlCOXJA==" saltValue="n3IFkndX72znQrxxhA6DC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2019-09-12T11:30:52Z</dcterms:modified>
</cp:coreProperties>
</file>