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olland Spildevand AS (S06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G13" i="10" l="1"/>
  <c r="E12" i="11" l="1"/>
  <c r="E11" i="11"/>
  <c r="E19" i="40" l="1"/>
  <c r="E16" i="40" l="1"/>
  <c r="E12" i="40"/>
  <c r="E13" i="11" l="1"/>
  <c r="E14" i="11"/>
  <c r="E10" i="1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6" i="15" s="1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E22" i="39" l="1"/>
  <c r="C27" i="15" s="1"/>
  <c r="E30" i="39"/>
  <c r="C22" i="22" s="1"/>
  <c r="C23" i="22" s="1"/>
  <c r="E38" i="39"/>
  <c r="C22" i="23" s="1"/>
  <c r="C23" i="23" s="1"/>
  <c r="E14" i="39"/>
  <c r="C29" i="2" s="1"/>
  <c r="C14" i="39"/>
  <c r="C28" i="2" s="1"/>
  <c r="G12" i="10"/>
  <c r="G14" i="10" s="1"/>
  <c r="C28" i="15" l="1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15" i="11" l="1"/>
  <c r="C10" i="37" s="1"/>
  <c r="C11" i="37" s="1"/>
  <c r="C12" i="37" s="1"/>
  <c r="C12" i="2" s="1"/>
  <c r="G15" i="11"/>
  <c r="E11" i="21" l="1"/>
  <c r="C11" i="21"/>
  <c r="E11" i="29"/>
  <c r="C11" i="29"/>
  <c r="C14" i="19"/>
  <c r="C15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15" i="11" l="1"/>
  <c r="E10" i="37" s="1"/>
  <c r="E11" i="37" s="1"/>
  <c r="E12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<sst xmlns="http://schemas.openxmlformats.org/spreadsheetml/2006/main" count="699" uniqueCount="276">
  <si>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</si>
  <si>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</si>
  <si>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</si>
  <si>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</si>
  <si>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</si>
  <si>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</si>
  <si>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</si>
  <si>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</si>
  <si>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</si>
  <si>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</si>
  <si>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</si>
  <si>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</si>
  <si>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</si>
  <si>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</si>
  <si>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</si>
  <si>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</si>
  <si>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</si>
  <si>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</si>
  <si>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</si>
  <si>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</si>
  <si>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</si>
  <si>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</si>
  <si>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</si>
  <si>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</si>
  <si>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</si>
  <si>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</si>
  <si>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</si>
  <si>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</si>
  <si>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</si>
  <si>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</si>
  <si>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</si>
  <si>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</si>
  <si>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</si>
  <si>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</si>
  <si>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</si>
  <si>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</si>
  <si>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</si>
  <si>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</si>
  <si>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</si>
  <si>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</si>
  <si>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</si>
  <si>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</si>
  <si>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</si>
  <si>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</si>
  <si>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</si>
  <si>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</si>
  <si>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</si>
  <si>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</si>
  <si>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</si>
  <si>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</si>
  <si>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</si>
  <si>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</si>
  <si>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</si>
  <si>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</si>
  <si>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</si>
  <si>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</si>
  <si>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</si>
  <si>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</si>
  <si>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</si>
  <si>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</si>
  <si>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</si>
  <si>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</si>
  <si>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</si>
  <si>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</si>
  <si>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</si>
  <si>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</si>
  <si>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</si>
  <si>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</si>
  <si>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</si>
  <si>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</si>
  <si>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</si>
  <si>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</si>
  <si>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</si>
  <si>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</si>
  <si>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</si>
  <si>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</si>
  <si>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</si>
  <si>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</si>
  <si>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</si>
  <si>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</si>
  <si>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</si>
  <si>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</si>
  <si>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</si>
  <si>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</si>
  <si>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</si>
  <si>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</si>
  <si>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</si>
  <si>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</si>
  <si>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</si>
  <si>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</si>
  <si>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</si>
  <si>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</si>
  <si>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</si>
  <si>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</si>
  <si>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</si>
  <si>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</si>
  <si>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</si>
  <si>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</si>
  <si>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</si>
  <si>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</si>
  <si>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</si>
  <si>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</si>
  <si>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</si>
  <si>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</si>
  <si>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</si>
  <si>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</si>
  <si>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</si>
  <si>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</si>
  <si>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</si>
  <si>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</si>
  <si>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</si>
  <si>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</si>
  <si>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</si>
  <si>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</si>
  <si>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</si>
  <si>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</si>
  <si>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</si>
  <si>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</si>
  <si>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</si>
  <si>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</si>
  <si>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</si>
  <si>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</si>
  <si>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</si>
  <si>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</si>
  <si>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</si>
  <si>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</si>
  <si>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</si>
  <si>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</si>
  <si>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</si>
  <si>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</si>
  <si>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</si>
  <si>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</si>
  <si>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</si>
  <si>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</si>
  <si>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</si>
  <si>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</si>
  <si>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</si>
  <si>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</si>
  <si>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</si>
  <si>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</si>
  <si>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</si>
  <si>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</si>
  <si>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</si>
  <si>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</si>
  <si>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</si>
  <si>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</si>
  <si>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</si>
  <si>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</si>
  <si>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</si>
  <si>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</si>
  <si>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</si>
  <si>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</si>
  <si>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</si>
  <si>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</si>
  <si>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</si>
  <si>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</si>
  <si>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</si>
  <si>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</si>
  <si>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</si>
  <si>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</si>
  <si>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</si>
  <si>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</si>
  <si>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</si>
  <si>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</si>
  <si>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</si>
  <si>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</si>
  <si>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</si>
  <si>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</si>
  <si>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</si>
  <si>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</si>
  <si>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</si>
  <si>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</si>
  <si>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</si>
  <si>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</si>
  <si>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</si>
  <si>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</si>
  <si>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</si>
  <si>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</si>
  <si>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</si>
  <si>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</si>
  <si>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</si>
  <si>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</si>
  <si>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</si>
  <si>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</si>
  <si>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</si>
  <si>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</si>
  <si>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</si>
  <si>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</si>
  <si>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</si>
  <si>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</si>
  <si>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</si>
  <si>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</si>
  <si>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</si>
  <si>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</si>
  <si>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</si>
  <si>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</si>
  <si>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</si>
  <si>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</si>
  <si>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</si>
  <si>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</si>
  <si>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</si>
  <si>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</si>
  <si>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</si>
  <si>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</si>
  <si>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</si>
  <si>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</si>
  <si>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</si>
  <si>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</si>
  <si>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</si>
  <si>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</si>
  <si>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</si>
  <si>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</si>
  <si>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</si>
  <si>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</si>
  <si>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</si>
  <si>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</si>
  <si>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</si>
  <si>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</si>
  <si>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</si>
  <si>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</si>
  <si>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</si>
  <si>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</si>
  <si>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</si>
  <si>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</si>
  <si>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</si>
  <si>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</si>
  <si>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</si>
  <si>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</si>
  <si>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</si>
  <si>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</si>
  <si>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</si>
  <si>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</si>
  <si>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</si>
  <si>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</si>
  <si>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</si>
  <si>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</si>
  <si>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</si>
  <si>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</si>
  <si>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</si>
  <si>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</si>
  <si>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</si>
  <si>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</si>
  <si>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</si>
  <si>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</si>
  <si>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</si>
  <si>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</si>
  <si>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</si>
  <si>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</si>
  <si>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</si>
  <si>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</si>
  <si>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</si>
  <si>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</si>
  <si>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</si>
  <si>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</si>
  <si>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</si>
  <si>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</si>
  <si>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</si>
  <si>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</si>
  <si>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</si>
  <si>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</si>
  <si>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</si>
  <si>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</si>
  <si>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</si>
  <si>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</si>
  <si>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</si>
  <si>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</si>
  <si>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IR</t>
  </si>
  <si>
    <t>Ledningsnet ≤ Ø 200 mm</t>
  </si>
  <si>
    <t>Indløb med riste, SRO</t>
  </si>
  <si>
    <t>Anlægsprojekter igangsat senest 1. marts 2016</t>
  </si>
  <si>
    <t>Ingen engangstillæg</t>
  </si>
  <si>
    <t>Spildevandsafgift</t>
  </si>
  <si>
    <t>Afgift til Forsyningssekretariatet</t>
  </si>
  <si>
    <t>Ejendomsskatter</t>
  </si>
  <si>
    <t>Erstatninger</t>
  </si>
  <si>
    <t>Fradrag i de økonomiske rammer for 2022-2025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</si>
</sst>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0" borderId="1" xfId="0" applyNumberFormat="1" applyFont="1" applyFill="1" applyBorder="1" applyProtection="1"/>
    <xf numFmtId="1" fontId="0" fillId="0" borderId="0" xfId="1" applyNumberFormat="1" applyFo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213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133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134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254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220</v>
      </c>
      <c r="D18" s="61" t="s">
        <v>176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221</v>
      </c>
      <c r="D19" s="61" t="s">
        <v>177</v>
      </c>
      <c r="E19" s="62"/>
      <c r="F19" s="62"/>
      <c r="G19" s="63"/>
      <c r="H19" s="1"/>
      <c r="I19" s="1"/>
    </row>
    <row r="20" spans="1:9" x14ac:dyDescent="0.25">
      <c r="A20" s="1"/>
      <c r="B20" s="1"/>
      <c r="C20" s="6" t="s">
        <v>7</v>
      </c>
      <c r="D20" s="61" t="s">
        <v>10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222</v>
      </c>
      <c r="D21" s="67" t="s">
        <v>17</v>
      </c>
      <c r="E21" s="68"/>
      <c r="F21" s="68"/>
      <c r="G21" s="69"/>
      <c r="H21" s="1"/>
      <c r="I21" s="1"/>
    </row>
    <row r="22" spans="1:9" x14ac:dyDescent="0.25">
      <c r="A22" s="1"/>
      <c r="B22" s="1"/>
      <c r="C22" s="6" t="s">
        <v>140</v>
      </c>
      <c r="D22" s="53" t="s">
        <v>173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257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55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223</v>
      </c>
      <c r="D25" s="53" t="s">
        <v>141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224</v>
      </c>
      <c r="D26" s="53" t="s">
        <v>142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225</v>
      </c>
      <c r="D27" s="53" t="s">
        <v>143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22</v>
      </c>
      <c r="D28" s="53" t="s">
        <v>56</v>
      </c>
      <c r="E28" s="54"/>
      <c r="F28" s="54"/>
      <c r="G28" s="55"/>
      <c r="H28" s="1"/>
      <c r="I28" s="1"/>
    </row>
    <row r="29" spans="1:9" x14ac:dyDescent="0.25">
      <c r="A29" s="1"/>
      <c r="B29" s="1"/>
      <c r="C29" s="6" t="s">
        <v>58</v>
      </c>
      <c r="D29" s="53" t="s">
        <v>57</v>
      </c>
      <c r="E29" s="54"/>
      <c r="F29" s="54"/>
      <c r="G29" s="55"/>
      <c r="H29" s="1"/>
      <c r="I29" s="1"/>
    </row>
    <row r="30" spans="1:9" x14ac:dyDescent="0.25">
      <c r="A30" s="1"/>
      <c r="B30" s="1"/>
      <c r="C30" s="6" t="s">
        <v>59</v>
      </c>
      <c r="D30" s="70" t="s">
        <v>11</v>
      </c>
      <c r="E30" s="71"/>
      <c r="F30" s="71"/>
      <c r="G30" s="72"/>
      <c r="H30" s="1"/>
      <c r="I30" s="1"/>
    </row>
    <row r="31" spans="1:9" x14ac:dyDescent="0.25">
      <c r="A31" s="1"/>
      <c r="B31" s="1"/>
      <c r="C31" s="6" t="s">
        <v>172</v>
      </c>
      <c r="D31" s="64" t="s">
        <v>207</v>
      </c>
      <c r="E31" s="65"/>
      <c r="F31" s="65"/>
      <c r="G31" s="66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hN6fge9g+FKtAgr0dl0DC7WcoxA1QtniDI633DYmIpO7X6WMfh5nEm38w2WYk4UrZdHnf/hMkyc5XIQ24Ei7Vw==" saltValue="JM8cjKjhHYfELFYMHXaQaw==" spinCount="100000" sheet="1" objects="1" scenarios="1"/>
  <mergeCells count="22"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er'!A1" display="Korrektion af tidligere ramm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232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8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271</v>
      </c>
      <c r="C10" s="9">
        <v>1931119</v>
      </c>
      <c r="D10" s="14" t="s">
        <v>3</v>
      </c>
      <c r="E10" s="1"/>
      <c r="F10" s="1"/>
    </row>
    <row r="11" spans="1:6" x14ac:dyDescent="0.25">
      <c r="A11" s="1"/>
      <c r="B11" s="47" t="s">
        <v>272</v>
      </c>
      <c r="C11" s="9">
        <v>115792</v>
      </c>
      <c r="D11" s="14" t="s">
        <v>3</v>
      </c>
      <c r="E11" s="1"/>
      <c r="F11" s="1"/>
    </row>
    <row r="12" spans="1:6" x14ac:dyDescent="0.25">
      <c r="A12" s="1"/>
      <c r="B12" s="47" t="s">
        <v>273</v>
      </c>
      <c r="C12" s="9">
        <v>226355</v>
      </c>
      <c r="D12" s="14" t="s">
        <v>3</v>
      </c>
      <c r="E12" s="1"/>
      <c r="F12" s="1"/>
    </row>
    <row r="13" spans="1:6" x14ac:dyDescent="0.25">
      <c r="A13" s="1"/>
      <c r="B13" s="47" t="s">
        <v>274</v>
      </c>
      <c r="C13" s="9">
        <v>30344.49</v>
      </c>
      <c r="D13" s="14" t="s">
        <v>3</v>
      </c>
      <c r="E13" s="1"/>
      <c r="F13" s="1"/>
    </row>
    <row r="14" spans="1:6" x14ac:dyDescent="0.25">
      <c r="A14" s="1"/>
      <c r="B14" s="45" t="s">
        <v>68</v>
      </c>
      <c r="C14" s="12">
        <f>SUM(C10:C13)</f>
        <v>2303610.4900000002</v>
      </c>
      <c r="D14" s="13" t="s">
        <v>3</v>
      </c>
      <c r="E14" s="1"/>
      <c r="F14" s="1"/>
    </row>
    <row r="15" spans="1:6" x14ac:dyDescent="0.25">
      <c r="A15" s="1"/>
      <c r="B15" s="45" t="s">
        <v>69</v>
      </c>
      <c r="C15" s="12">
        <f>C14*(1+'Fane 15. Nøgletal'!C12)^2</f>
        <v>2395266.7515010643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3" t="s">
        <v>243</v>
      </c>
      <c r="C18" s="94"/>
      <c r="D18" s="95"/>
      <c r="E18" s="1"/>
      <c r="F18" s="1"/>
    </row>
    <row r="19" spans="1:6" x14ac:dyDescent="0.25">
      <c r="A19" s="1"/>
      <c r="B19" s="47" t="s">
        <v>193</v>
      </c>
      <c r="C19" s="9">
        <v>40000</v>
      </c>
      <c r="D19" s="14" t="s">
        <v>3</v>
      </c>
      <c r="E19" s="1"/>
      <c r="F19" s="1"/>
    </row>
    <row r="20" spans="1:6" x14ac:dyDescent="0.25">
      <c r="A20" s="1"/>
      <c r="B20" s="47" t="s">
        <v>194</v>
      </c>
      <c r="C20" s="9">
        <v>40000</v>
      </c>
      <c r="D20" s="14" t="s">
        <v>3</v>
      </c>
      <c r="E20" s="1"/>
      <c r="F20" s="1"/>
    </row>
    <row r="21" spans="1:6" x14ac:dyDescent="0.25">
      <c r="A21" s="1"/>
      <c r="B21" s="47" t="s">
        <v>195</v>
      </c>
      <c r="C21" s="9">
        <v>40000</v>
      </c>
      <c r="D21" s="14" t="s">
        <v>3</v>
      </c>
      <c r="E21" s="1"/>
      <c r="F21" s="1"/>
    </row>
    <row r="22" spans="1:6" x14ac:dyDescent="0.25">
      <c r="A22" s="1"/>
      <c r="B22" s="47" t="s">
        <v>196</v>
      </c>
      <c r="C22" s="9">
        <v>40000</v>
      </c>
      <c r="D22" s="14" t="s">
        <v>3</v>
      </c>
      <c r="E22" s="1"/>
      <c r="F22" s="1"/>
    </row>
    <row r="23" spans="1:6" x14ac:dyDescent="0.25">
      <c r="A23" s="1"/>
      <c r="B23" s="93"/>
      <c r="C23" s="94"/>
      <c r="D23" s="9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3" t="s">
        <v>192</v>
      </c>
      <c r="C26" s="94"/>
      <c r="D26" s="95"/>
      <c r="E26" s="1"/>
      <c r="F26" s="1"/>
    </row>
    <row r="27" spans="1:6" x14ac:dyDescent="0.25">
      <c r="A27" s="1"/>
      <c r="B27" s="47" t="s">
        <v>193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7" t="s">
        <v>194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7" t="s">
        <v>195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7" t="s">
        <v>196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3"/>
      <c r="C31" s="94"/>
      <c r="D31" s="9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LFpFAFZUUkffhUF3jXvtZLWeogRsRb2e0uRx7RJQjPx8F/Nenajc8QIIpjnNkcC2gemAYo39Zt6cSfjoyFZ7Bg==" saltValue="bjVyxIHmRF4ySF5r2aXhv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231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179</v>
      </c>
      <c r="C8" s="94"/>
      <c r="D8" s="94"/>
      <c r="E8" s="94"/>
      <c r="F8" s="95"/>
      <c r="G8" s="1"/>
    </row>
    <row r="9" spans="1:7" x14ac:dyDescent="0.25">
      <c r="A9" s="1"/>
      <c r="B9" s="102" t="s">
        <v>180</v>
      </c>
      <c r="C9" s="103"/>
      <c r="D9" s="104"/>
      <c r="E9" s="9">
        <v>130582505.9076978</v>
      </c>
      <c r="F9" s="14" t="s">
        <v>3</v>
      </c>
      <c r="G9" s="1"/>
    </row>
    <row r="10" spans="1:7" x14ac:dyDescent="0.25">
      <c r="A10" s="1"/>
      <c r="B10" s="102" t="s">
        <v>181</v>
      </c>
      <c r="C10" s="103"/>
      <c r="D10" s="104"/>
      <c r="E10" s="9">
        <v>87524953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96" t="s">
        <v>182</v>
      </c>
      <c r="C12" s="97"/>
      <c r="D12" s="98"/>
      <c r="E12" s="10">
        <f>E9-(E10-E11)</f>
        <v>43057552.907697797</v>
      </c>
      <c r="F12" s="17" t="s">
        <v>3</v>
      </c>
      <c r="G12" s="1"/>
    </row>
    <row r="13" spans="1:7" x14ac:dyDescent="0.25">
      <c r="A13" s="1"/>
      <c r="B13" s="45"/>
      <c r="C13" s="46"/>
      <c r="D13" s="46"/>
      <c r="E13" s="46"/>
      <c r="F13" s="22"/>
      <c r="G13" s="1"/>
    </row>
    <row r="14" spans="1:7" ht="27.75" customHeight="1" x14ac:dyDescent="0.25">
      <c r="A14" s="1"/>
      <c r="B14" s="75" t="s">
        <v>209</v>
      </c>
      <c r="C14" s="76"/>
      <c r="D14" s="76"/>
      <c r="E14" s="76"/>
      <c r="F14" s="77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74</v>
      </c>
      <c r="C17" s="94"/>
      <c r="D17" s="94"/>
      <c r="E17" s="94"/>
      <c r="F17" s="95"/>
      <c r="G17" s="1"/>
    </row>
    <row r="18" spans="1:7" x14ac:dyDescent="0.25">
      <c r="A18" s="1"/>
      <c r="B18" s="102" t="s">
        <v>75</v>
      </c>
      <c r="C18" s="103"/>
      <c r="D18" s="104"/>
      <c r="E18" s="9">
        <v>135645466.26166359</v>
      </c>
      <c r="F18" s="14" t="s">
        <v>3</v>
      </c>
      <c r="G18" s="1"/>
    </row>
    <row r="19" spans="1:7" x14ac:dyDescent="0.25">
      <c r="A19" s="1"/>
      <c r="B19" s="102" t="s">
        <v>76</v>
      </c>
      <c r="C19" s="103"/>
      <c r="D19" s="104"/>
      <c r="E19" s="9">
        <v>90213836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96" t="s">
        <v>77</v>
      </c>
      <c r="C21" s="97"/>
      <c r="D21" s="98"/>
      <c r="E21" s="10">
        <f>E18-(E19-E20)</f>
        <v>45431630.261663586</v>
      </c>
      <c r="F21" s="17" t="s">
        <v>3</v>
      </c>
      <c r="G21" s="1"/>
    </row>
    <row r="22" spans="1:7" x14ac:dyDescent="0.25">
      <c r="A22" s="1"/>
      <c r="B22" s="45"/>
      <c r="C22" s="46"/>
      <c r="D22" s="46"/>
      <c r="E22" s="46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201</v>
      </c>
      <c r="C25" s="94"/>
      <c r="D25" s="94"/>
      <c r="E25" s="94"/>
      <c r="F25" s="95"/>
      <c r="G25" s="1"/>
    </row>
    <row r="26" spans="1:7" x14ac:dyDescent="0.25">
      <c r="A26" s="1"/>
      <c r="B26" s="111" t="s">
        <v>171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1" t="s">
        <v>200</v>
      </c>
      <c r="C27" s="112"/>
      <c r="D27" s="113"/>
      <c r="E27" s="9">
        <v>4</v>
      </c>
      <c r="F27" s="14" t="s">
        <v>28</v>
      </c>
      <c r="G27" s="1"/>
    </row>
    <row r="28" spans="1:7" x14ac:dyDescent="0.25">
      <c r="A28" s="1"/>
      <c r="B28" s="96" t="s">
        <v>275</v>
      </c>
      <c r="C28" s="97"/>
      <c r="D28" s="98"/>
      <c r="E28" s="10">
        <f>E26/E27</f>
        <v>0</v>
      </c>
      <c r="F28" s="17" t="s">
        <v>3</v>
      </c>
      <c r="G28" s="1"/>
    </row>
    <row r="29" spans="1:7" x14ac:dyDescent="0.25">
      <c r="A29" s="1"/>
      <c r="B29" s="114"/>
      <c r="C29" s="115"/>
      <c r="D29" s="115"/>
      <c r="E29" s="115"/>
      <c r="F29" s="116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E576mCC0a4snqs3Kk6NoKRTH1oF1ahJeDYhQYFfXzA15EJWuB1bjbloPwxEQ85eVmGPzyvCC9Pb5V3yzW9502w==" saltValue="Vam/3FuML+Nt98ifyjLc3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7:D27"/>
    <mergeCell ref="B28:D28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259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174</v>
      </c>
      <c r="C9" s="94"/>
      <c r="D9" s="94"/>
      <c r="E9" s="94"/>
      <c r="F9" s="94"/>
      <c r="G9" s="1"/>
    </row>
    <row r="10" spans="1:7" x14ac:dyDescent="0.25">
      <c r="A10" s="1"/>
      <c r="B10" s="75" t="s">
        <v>197</v>
      </c>
      <c r="C10" s="76"/>
      <c r="D10" s="77"/>
      <c r="E10" s="7">
        <v>0</v>
      </c>
      <c r="F10" s="8" t="s">
        <v>3</v>
      </c>
      <c r="G10" s="1"/>
    </row>
    <row r="11" spans="1:7" x14ac:dyDescent="0.25">
      <c r="A11" s="1"/>
      <c r="B11" s="102" t="s">
        <v>198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6" t="s">
        <v>199</v>
      </c>
      <c r="C12" s="97"/>
      <c r="D12" s="98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175</v>
      </c>
      <c r="C13" s="94"/>
      <c r="D13" s="94"/>
      <c r="E13" s="94"/>
      <c r="F13" s="94"/>
      <c r="G13" s="1"/>
    </row>
    <row r="14" spans="1:7" x14ac:dyDescent="0.25">
      <c r="A14" s="1"/>
      <c r="B14" s="102" t="s">
        <v>217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75" t="s">
        <v>218</v>
      </c>
      <c r="C15" s="76"/>
      <c r="D15" s="77"/>
      <c r="E15" s="9">
        <v>40000</v>
      </c>
      <c r="F15" s="8" t="s">
        <v>3</v>
      </c>
      <c r="G15" s="1"/>
    </row>
    <row r="16" spans="1:7" x14ac:dyDescent="0.25">
      <c r="A16" s="1"/>
      <c r="B16" s="96" t="s">
        <v>199</v>
      </c>
      <c r="C16" s="97"/>
      <c r="D16" s="98"/>
      <c r="E16" s="10">
        <f>E15-E14</f>
        <v>40000</v>
      </c>
      <c r="F16" s="11" t="s">
        <v>3</v>
      </c>
      <c r="G16" s="1"/>
    </row>
    <row r="17" spans="1:7" ht="15" customHeight="1" x14ac:dyDescent="0.25">
      <c r="A17" s="1"/>
      <c r="B17" s="93" t="s">
        <v>170</v>
      </c>
      <c r="C17" s="94"/>
      <c r="D17" s="94"/>
      <c r="E17" s="94"/>
      <c r="F17" s="94"/>
      <c r="G17" s="1"/>
    </row>
    <row r="18" spans="1:7" ht="27.95" customHeight="1" x14ac:dyDescent="0.25">
      <c r="A18" s="1"/>
      <c r="B18" s="75" t="s">
        <v>265</v>
      </c>
      <c r="C18" s="76"/>
      <c r="D18" s="77"/>
      <c r="E18" s="9">
        <v>0</v>
      </c>
      <c r="F18" s="8" t="s">
        <v>3</v>
      </c>
      <c r="G18" s="1"/>
    </row>
    <row r="19" spans="1:7" ht="29.25" customHeight="1" x14ac:dyDescent="0.25">
      <c r="A19" s="1"/>
      <c r="B19" s="78" t="s">
        <v>178</v>
      </c>
      <c r="C19" s="79"/>
      <c r="D19" s="80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5" t="s">
        <v>190</v>
      </c>
      <c r="C20" s="46"/>
      <c r="D20" s="46"/>
      <c r="E20" s="12">
        <f>E12+E16+E19</f>
        <v>40000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JpiZpfTgsqUVYxtqIqWKFTzYI/5x32M3E7+y53Sks+TywMdCsklIPnYVTRe9yZxFbj0G6/zE2gKXxh6SU9zDg==" saltValue="YVv25r3f2Dw0/McjM3YcS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260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261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42"/>
      <c r="I9" s="1"/>
    </row>
    <row r="10" spans="1:9" x14ac:dyDescent="0.25">
      <c r="A10" s="1"/>
      <c r="B10" s="51" t="s">
        <v>267</v>
      </c>
      <c r="C10" s="126">
        <v>75</v>
      </c>
      <c r="D10" s="9">
        <v>6528091</v>
      </c>
      <c r="E10" s="9">
        <f>IFERROR(D10/C10,0)</f>
        <v>87041.213333333333</v>
      </c>
      <c r="F10" s="9">
        <v>0</v>
      </c>
      <c r="G10" s="9">
        <v>192812</v>
      </c>
      <c r="H10" s="14" t="s">
        <v>3</v>
      </c>
      <c r="I10" s="1"/>
    </row>
    <row r="11" spans="1:9" x14ac:dyDescent="0.25">
      <c r="A11" s="1"/>
      <c r="B11" s="51" t="s">
        <v>267</v>
      </c>
      <c r="C11" s="126">
        <v>75</v>
      </c>
      <c r="D11" s="9">
        <v>1646988</v>
      </c>
      <c r="E11" s="9">
        <f t="shared" ref="E11:E12" si="0">IFERROR(D11/C11,0)</f>
        <v>21959.84</v>
      </c>
      <c r="F11" s="9">
        <v>0</v>
      </c>
      <c r="G11" s="9">
        <v>48645</v>
      </c>
      <c r="H11" s="14" t="s">
        <v>3</v>
      </c>
      <c r="I11" s="1"/>
    </row>
    <row r="12" spans="1:9" x14ac:dyDescent="0.25">
      <c r="A12" s="1"/>
      <c r="B12" s="51" t="s">
        <v>267</v>
      </c>
      <c r="C12" s="126">
        <v>75</v>
      </c>
      <c r="D12" s="9">
        <v>4382307</v>
      </c>
      <c r="E12" s="9">
        <f t="shared" si="0"/>
        <v>58430.76</v>
      </c>
      <c r="F12" s="9">
        <v>0</v>
      </c>
      <c r="G12" s="9">
        <v>129435</v>
      </c>
      <c r="H12" s="14" t="s">
        <v>3</v>
      </c>
      <c r="I12" s="1"/>
    </row>
    <row r="13" spans="1:9" x14ac:dyDescent="0.25">
      <c r="A13" s="1"/>
      <c r="B13" s="51" t="s">
        <v>267</v>
      </c>
      <c r="C13" s="126">
        <v>75</v>
      </c>
      <c r="D13" s="9">
        <v>13156797</v>
      </c>
      <c r="E13" s="9">
        <f t="shared" ref="E13:E14" si="1">IFERROR(D13/C13,0)</f>
        <v>175423.96</v>
      </c>
      <c r="F13" s="9">
        <v>0</v>
      </c>
      <c r="G13" s="9">
        <v>388596</v>
      </c>
      <c r="H13" s="14" t="s">
        <v>3</v>
      </c>
      <c r="I13" s="1"/>
    </row>
    <row r="14" spans="1:9" x14ac:dyDescent="0.25">
      <c r="A14" s="1"/>
      <c r="B14" s="51" t="s">
        <v>268</v>
      </c>
      <c r="C14" s="126">
        <v>10</v>
      </c>
      <c r="D14" s="9">
        <v>302863</v>
      </c>
      <c r="E14" s="9">
        <f t="shared" si="1"/>
        <v>30286.3</v>
      </c>
      <c r="F14" s="9">
        <v>0</v>
      </c>
      <c r="G14" s="9">
        <v>8945</v>
      </c>
      <c r="H14" s="14" t="s">
        <v>3</v>
      </c>
      <c r="I14" s="1"/>
    </row>
    <row r="15" spans="1:9" x14ac:dyDescent="0.25">
      <c r="A15" s="1"/>
      <c r="B15" s="93" t="s">
        <v>262</v>
      </c>
      <c r="C15" s="94"/>
      <c r="D15" s="95"/>
      <c r="E15" s="12">
        <f>SUM(E10:E14)</f>
        <v>373142.0733333333</v>
      </c>
      <c r="F15" s="12">
        <f>SUM(F10:F14)</f>
        <v>0</v>
      </c>
      <c r="G15" s="12">
        <f>SUM(G10:G14)</f>
        <v>768433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</sheetData>
  <sheetProtection algorithmName="SHA-512" hashValue="PINu6KhAMRpBSRXCXHebbqFvi52+ZvVbJy75wJbJLvejaLwb5rk/b/b9zuu1cSs+NoF3YGOmqUbx9g3wjgSHZQ==" saltValue="Uac9sx0sQY3LtKfPH9812w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137</v>
      </c>
      <c r="C8" s="46"/>
      <c r="D8" s="46"/>
      <c r="E8" s="46"/>
      <c r="F8" s="22"/>
      <c r="G8" s="1"/>
    </row>
    <row r="9" spans="1:7" ht="17.25" customHeight="1" x14ac:dyDescent="0.2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25">
      <c r="A10" s="1"/>
      <c r="B10" s="27" t="s">
        <v>269</v>
      </c>
      <c r="C10" s="24">
        <f>'Fane 9. Anlægsprojekter'!F15</f>
        <v>0</v>
      </c>
      <c r="D10" s="14" t="s">
        <v>3</v>
      </c>
      <c r="E10" s="9">
        <f>SUM('Fane 9. Anlægsprojekter'!E15,'Fane 9. Anlægsprojekter'!G15)</f>
        <v>1141575.0733333332</v>
      </c>
      <c r="F10" s="14" t="s">
        <v>3</v>
      </c>
      <c r="G10" s="1"/>
    </row>
    <row r="11" spans="1:7" x14ac:dyDescent="0.25">
      <c r="A11" s="1"/>
      <c r="B11" s="45" t="s">
        <v>60</v>
      </c>
      <c r="C11" s="12">
        <f>SUM(C10:C10)</f>
        <v>0</v>
      </c>
      <c r="D11" s="13" t="s">
        <v>3</v>
      </c>
      <c r="E11" s="12">
        <f>SUM(E10:E10)</f>
        <v>1141575.0733333332</v>
      </c>
      <c r="F11" s="13" t="s">
        <v>3</v>
      </c>
      <c r="G11" s="1"/>
    </row>
    <row r="12" spans="1:7" x14ac:dyDescent="0.25">
      <c r="A12" s="1"/>
      <c r="B12" s="45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1164064.102278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HZGNbIhrXo2/4SWjZUNNqr46LtCjIxQLgKhoelBiuYy6JXwCNCY9491Z0MZfv/OJzmgMhZ13Ix8teUy7Jhn3Xg==" saltValue="dABXIQYbn4SVHLAnwE0z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229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25">
      <c r="A10" s="1"/>
      <c r="B10" s="27" t="s">
        <v>270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5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184</v>
      </c>
      <c r="C16" s="94"/>
      <c r="D16" s="94"/>
      <c r="E16" s="94"/>
      <c r="F16" s="95"/>
      <c r="G16" s="1"/>
    </row>
    <row r="17" spans="1:7" x14ac:dyDescent="0.25">
      <c r="A17" s="1"/>
      <c r="B17" s="39" t="s">
        <v>25</v>
      </c>
      <c r="C17" s="39" t="s">
        <v>16</v>
      </c>
      <c r="D17" s="40"/>
      <c r="E17" s="39" t="s">
        <v>48</v>
      </c>
      <c r="F17" s="42"/>
      <c r="G17" s="1"/>
    </row>
    <row r="18" spans="1:7" x14ac:dyDescent="0.25">
      <c r="A18" s="1"/>
      <c r="B18" s="27" t="s">
        <v>270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5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185</v>
      </c>
      <c r="C24" s="94"/>
      <c r="D24" s="94"/>
      <c r="E24" s="94"/>
      <c r="F24" s="95"/>
      <c r="G24" s="1"/>
    </row>
    <row r="25" spans="1:7" x14ac:dyDescent="0.25">
      <c r="A25" s="1"/>
      <c r="B25" s="39" t="s">
        <v>25</v>
      </c>
      <c r="C25" s="39" t="s">
        <v>16</v>
      </c>
      <c r="D25" s="40"/>
      <c r="E25" s="39" t="s">
        <v>48</v>
      </c>
      <c r="F25" s="42"/>
      <c r="G25" s="1"/>
    </row>
    <row r="26" spans="1:7" x14ac:dyDescent="0.25">
      <c r="A26" s="1"/>
      <c r="B26" s="27" t="s">
        <v>270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5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186</v>
      </c>
      <c r="C32" s="94"/>
      <c r="D32" s="94"/>
      <c r="E32" s="94"/>
      <c r="F32" s="95"/>
      <c r="G32" s="1"/>
    </row>
    <row r="33" spans="1:7" x14ac:dyDescent="0.25">
      <c r="A33" s="1"/>
      <c r="B33" s="39" t="s">
        <v>25</v>
      </c>
      <c r="C33" s="39" t="s">
        <v>16</v>
      </c>
      <c r="D33" s="40"/>
      <c r="E33" s="39" t="s">
        <v>48</v>
      </c>
      <c r="F33" s="42"/>
      <c r="G33" s="1"/>
    </row>
    <row r="34" spans="1:7" x14ac:dyDescent="0.25">
      <c r="A34" s="1"/>
      <c r="B34" s="27" t="s">
        <v>270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5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6E8IyaN+T1BgQdt4s/dWfc6GRZ+/bVyBW4oxVXwRZBeGobKYkaS+T4GzUSkGxU1NqEQZdXJTsNiJIGwO+/F1DQ==" saltValue="K5zllU76HPctxLqPVM2T9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158</v>
      </c>
      <c r="C8" s="94"/>
      <c r="D8" s="94"/>
      <c r="E8" s="94"/>
      <c r="F8" s="95"/>
      <c r="G8" s="1"/>
    </row>
    <row r="9" spans="1:7" x14ac:dyDescent="0.25">
      <c r="A9" s="1"/>
      <c r="B9" s="117" t="s">
        <v>157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120" t="s">
        <v>10</v>
      </c>
      <c r="C10" s="121"/>
      <c r="D10" s="122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20" t="s">
        <v>39</v>
      </c>
      <c r="C11" s="121"/>
      <c r="D11" s="122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162</v>
      </c>
      <c r="C12" s="94"/>
      <c r="D12" s="95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159</v>
      </c>
      <c r="C14" s="94"/>
      <c r="D14" s="94"/>
      <c r="E14" s="94"/>
      <c r="F14" s="95"/>
      <c r="G14" s="1"/>
    </row>
    <row r="15" spans="1:7" x14ac:dyDescent="0.25">
      <c r="A15" s="1"/>
      <c r="B15" s="117" t="s">
        <v>157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120" t="s">
        <v>10</v>
      </c>
      <c r="C16" s="121"/>
      <c r="D16" s="122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20" t="s">
        <v>39</v>
      </c>
      <c r="C17" s="121"/>
      <c r="D17" s="122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163</v>
      </c>
      <c r="C18" s="94"/>
      <c r="D18" s="95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160</v>
      </c>
      <c r="C20" s="94"/>
      <c r="D20" s="94"/>
      <c r="E20" s="94"/>
      <c r="F20" s="95"/>
      <c r="G20" s="1"/>
    </row>
    <row r="21" spans="1:7" x14ac:dyDescent="0.25">
      <c r="A21" s="1"/>
      <c r="B21" s="117" t="s">
        <v>157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120" t="s">
        <v>10</v>
      </c>
      <c r="C22" s="121"/>
      <c r="D22" s="122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20" t="s">
        <v>39</v>
      </c>
      <c r="C23" s="121"/>
      <c r="D23" s="122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164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161</v>
      </c>
      <c r="C26" s="94"/>
      <c r="D26" s="94"/>
      <c r="E26" s="94"/>
      <c r="F26" s="95"/>
      <c r="G26" s="1"/>
    </row>
    <row r="27" spans="1:7" x14ac:dyDescent="0.25">
      <c r="A27" s="1"/>
      <c r="B27" s="117" t="s">
        <v>157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120" t="s">
        <v>10</v>
      </c>
      <c r="C28" s="121"/>
      <c r="D28" s="122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20" t="s">
        <v>39</v>
      </c>
      <c r="C29" s="121"/>
      <c r="D29" s="122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165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zIHsLD3zBYXVsDrhe6EYH84Ow6ZGM8CZSEh9wzZK9XcFvKxWzHLo7u1pqGavfmO8wC4cKgEd8F9FVGdFJ64fQ==" saltValue="5ld45AuF827av8dPHvAeqw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228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41" t="s">
        <v>33</v>
      </c>
      <c r="C9" s="78" t="s">
        <v>16</v>
      </c>
      <c r="D9" s="80"/>
      <c r="E9" s="81" t="s">
        <v>48</v>
      </c>
      <c r="F9" s="83"/>
      <c r="G9" s="1"/>
    </row>
    <row r="10" spans="1:7" x14ac:dyDescent="0.25">
      <c r="A10" s="1"/>
      <c r="B10" s="27" t="s">
        <v>263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aIxtdXrW/IndwJtSmUcGn4/u4lkVdbbgxl0CPJsuZ+XY1zRnghw3TUpH3L5YdNseaWI5RWOQlB0NQhi1Xur1g==" saltValue="kK2uWpnx1PzhXP3rIw13H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226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167</v>
      </c>
      <c r="C8" s="94"/>
      <c r="D8" s="94"/>
      <c r="E8" s="94"/>
      <c r="F8" s="95"/>
      <c r="G8" s="1"/>
    </row>
    <row r="9" spans="1:7" ht="15" customHeight="1" x14ac:dyDescent="0.25">
      <c r="A9" s="1"/>
      <c r="B9" s="41" t="s">
        <v>26</v>
      </c>
      <c r="C9" s="41" t="s">
        <v>16</v>
      </c>
      <c r="D9" s="42"/>
      <c r="E9" s="41" t="s">
        <v>48</v>
      </c>
      <c r="F9" s="42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168</v>
      </c>
      <c r="C14" s="94"/>
      <c r="D14" s="94"/>
      <c r="E14" s="94"/>
      <c r="F14" s="95"/>
      <c r="G14" s="1"/>
    </row>
    <row r="15" spans="1:7" ht="26.25" x14ac:dyDescent="0.25">
      <c r="A15" s="1"/>
      <c r="B15" s="41" t="s">
        <v>26</v>
      </c>
      <c r="C15" s="41" t="s">
        <v>16</v>
      </c>
      <c r="D15" s="42"/>
      <c r="E15" s="41" t="s">
        <v>48</v>
      </c>
      <c r="F15" s="42"/>
      <c r="G15" s="1"/>
    </row>
    <row r="16" spans="1:7" x14ac:dyDescent="0.25">
      <c r="A16" s="1"/>
      <c r="B16" s="27" t="s">
        <v>264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5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5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166</v>
      </c>
      <c r="C20" s="94"/>
      <c r="D20" s="94"/>
      <c r="E20" s="94"/>
      <c r="F20" s="95"/>
      <c r="G20" s="1"/>
    </row>
    <row r="21" spans="1:7" ht="26.25" x14ac:dyDescent="0.25">
      <c r="A21" s="1"/>
      <c r="B21" s="41" t="s">
        <v>26</v>
      </c>
      <c r="C21" s="41" t="s">
        <v>16</v>
      </c>
      <c r="D21" s="42"/>
      <c r="E21" s="41" t="s">
        <v>48</v>
      </c>
      <c r="F21" s="42"/>
      <c r="G21" s="1"/>
    </row>
    <row r="22" spans="1:7" x14ac:dyDescent="0.25">
      <c r="A22" s="1"/>
      <c r="B22" s="27" t="s">
        <v>264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5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5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169</v>
      </c>
      <c r="C26" s="94"/>
      <c r="D26" s="94"/>
      <c r="E26" s="94"/>
      <c r="F26" s="95"/>
      <c r="G26" s="1"/>
    </row>
    <row r="27" spans="1:7" ht="26.25" x14ac:dyDescent="0.25">
      <c r="A27" s="1"/>
      <c r="B27" s="41" t="s">
        <v>26</v>
      </c>
      <c r="C27" s="41" t="s">
        <v>16</v>
      </c>
      <c r="D27" s="42"/>
      <c r="E27" s="41" t="s">
        <v>48</v>
      </c>
      <c r="F27" s="42"/>
      <c r="G27" s="1"/>
    </row>
    <row r="28" spans="1:7" x14ac:dyDescent="0.25">
      <c r="A28" s="1"/>
      <c r="B28" s="27" t="s">
        <v>264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5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5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jeq7WsETPkuA/N9PRcc0T8qeb7E0IOQY6tOPiGvCBxpuawoN4EvWqK6fx7hyfzoOgqOFFZ5YuVD+KuJYWGvAtw==" saltValue="CM3A4ayBdhXKbYfVUibPL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987892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78</v>
      </c>
      <c r="C11" s="103"/>
      <c r="D11" s="103"/>
      <c r="E11" s="103"/>
      <c r="F11" s="104"/>
      <c r="G11" s="9">
        <v>-987892</v>
      </c>
      <c r="H11" s="14" t="s">
        <v>3</v>
      </c>
      <c r="I11" s="1"/>
    </row>
    <row r="12" spans="1:9" x14ac:dyDescent="0.25">
      <c r="A12" s="1"/>
      <c r="B12" s="123" t="s">
        <v>15</v>
      </c>
      <c r="C12" s="124"/>
      <c r="D12" s="124"/>
      <c r="E12" s="124"/>
      <c r="F12" s="125"/>
      <c r="G12" s="19">
        <f>(G9+G10)+G11</f>
        <v>0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127">
        <f t="shared" ref="G13" si="0">IF(N13-1&lt;0,0,N13-1)</f>
        <v>0</v>
      </c>
      <c r="H13" s="14" t="s">
        <v>28</v>
      </c>
      <c r="I13" s="1"/>
    </row>
    <row r="14" spans="1:9" x14ac:dyDescent="0.25">
      <c r="A14" s="1"/>
      <c r="B14" s="93" t="s">
        <v>136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8/9vFNPjaHvSYHu4xMxNcfHRs/cEQ1Ty2AJUtscO+4b5o5LQI3eErleqQKJ6w2+E1SBDWwVCIPqD9FgfJwVSg==" saltValue="znC319T0ERhqFNI20yozg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x14ac:dyDescent="0.25">
      <c r="A9" s="1"/>
      <c r="B9" s="44" t="s">
        <v>35</v>
      </c>
      <c r="C9" s="7">
        <f>'Fane 3. Omkostninger i ØR2019'!E20</f>
        <v>103551790.04809248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2118341.4473156459</v>
      </c>
      <c r="D11" s="8" t="s">
        <v>3</v>
      </c>
      <c r="E11" s="1"/>
    </row>
    <row r="12" spans="1:5" ht="17.100000000000001" customHeight="1" x14ac:dyDescent="0.25">
      <c r="A12" s="1"/>
      <c r="B12" s="50" t="s">
        <v>64</v>
      </c>
      <c r="C12" s="7">
        <f>'Fane 10.1.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65</v>
      </c>
      <c r="C13" s="9">
        <f>'Fane 10.1. Varige tillæg'!E12</f>
        <v>1164064.102278</v>
      </c>
      <c r="D13" s="8" t="s">
        <v>3</v>
      </c>
      <c r="E13" s="1"/>
    </row>
    <row r="14" spans="1:5" ht="17.100000000000001" customHeight="1" x14ac:dyDescent="0.25">
      <c r="A14" s="1"/>
      <c r="B14" s="50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0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0" t="s">
        <v>27</v>
      </c>
      <c r="C18" s="9">
        <f>(C9-SUM(C10:C11))*'Fane 15. Nøgletal'!C10+SUM(C10:C11)*'Fane 15. Nøgletal'!C11+SUM('Fane 2.1. Økonomisk ramme 2020'!C12:C17)*'Fane 15. Nøgletal'!C12</f>
        <v>1833817.3837881058</v>
      </c>
      <c r="D18" s="8" t="s">
        <v>3</v>
      </c>
      <c r="E18" s="1"/>
    </row>
    <row r="19" spans="1:5" ht="17.100000000000001" customHeight="1" x14ac:dyDescent="0.25">
      <c r="A19" s="1"/>
      <c r="B19" s="50" t="s">
        <v>10</v>
      </c>
      <c r="C19" s="9">
        <f>-SUM(C9,C12:C18)*'Fane 5. Individuelt eff. krav'!G10</f>
        <v>-125290.65684787639</v>
      </c>
      <c r="D19" s="8" t="s">
        <v>3</v>
      </c>
      <c r="E19" s="1"/>
    </row>
    <row r="20" spans="1:5" ht="17.100000000000001" customHeight="1" x14ac:dyDescent="0.25">
      <c r="A20" s="1"/>
      <c r="B20" s="50" t="s">
        <v>39</v>
      </c>
      <c r="C20" s="9">
        <f>-'Fane 4.1. Gen. krav - drift'!G28</f>
        <v>-664078.78872648953</v>
      </c>
      <c r="D20" s="8" t="s">
        <v>3</v>
      </c>
      <c r="E20" s="1"/>
    </row>
    <row r="21" spans="1:5" ht="17.100000000000001" customHeight="1" x14ac:dyDescent="0.25">
      <c r="A21" s="1"/>
      <c r="B21" s="50" t="s">
        <v>40</v>
      </c>
      <c r="C21" s="9">
        <f>-'Fane 4.2. Gen. krav - anlæg'!G26</f>
        <v>-1308949.5272996682</v>
      </c>
      <c r="D21" s="8" t="s">
        <v>3</v>
      </c>
      <c r="E21" s="1"/>
    </row>
    <row r="22" spans="1:5" ht="17.100000000000001" customHeight="1" x14ac:dyDescent="0.25">
      <c r="A22" s="1"/>
      <c r="B22" s="36" t="s">
        <v>29</v>
      </c>
      <c r="C22" s="10">
        <f>SUM(C9,C12:C21)</f>
        <v>104451352.56128454</v>
      </c>
      <c r="D22" s="11" t="s">
        <v>3</v>
      </c>
      <c r="E22" s="1"/>
    </row>
    <row r="23" spans="1:5" ht="15" customHeight="1" x14ac:dyDescent="0.25">
      <c r="A23" s="1"/>
      <c r="B23" s="45" t="s">
        <v>17</v>
      </c>
      <c r="C23" s="46"/>
      <c r="D23" s="22"/>
      <c r="E23" s="1"/>
    </row>
    <row r="24" spans="1:5" ht="15" customHeight="1" x14ac:dyDescent="0.25">
      <c r="A24" s="1"/>
      <c r="B24" s="41" t="s">
        <v>17</v>
      </c>
      <c r="C24" s="10">
        <f>'Fane 6. Ikke-påvirkelige omk.'!C15+'Fane 6. Ikke-påvirkelige omk.'!C19+'Fane 6. Ikke-påvirkelige omk.'!C27</f>
        <v>2435266.7515010643</v>
      </c>
      <c r="D24" s="11" t="s">
        <v>3</v>
      </c>
      <c r="E24" s="1"/>
    </row>
    <row r="25" spans="1:5" ht="15" customHeight="1" x14ac:dyDescent="0.25">
      <c r="A25" s="1"/>
      <c r="B25" s="45" t="s">
        <v>143</v>
      </c>
      <c r="C25" s="46"/>
      <c r="D25" s="22"/>
      <c r="E25" s="1"/>
    </row>
    <row r="26" spans="1:5" ht="15" customHeight="1" x14ac:dyDescent="0.25">
      <c r="A26" s="1"/>
      <c r="B26" s="36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5" t="s">
        <v>142</v>
      </c>
      <c r="C27" s="46"/>
      <c r="D27" s="22"/>
      <c r="E27" s="1"/>
    </row>
    <row r="28" spans="1:5" ht="15" customHeight="1" x14ac:dyDescent="0.25">
      <c r="A28" s="1"/>
      <c r="B28" s="50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0" t="s">
        <v>139</v>
      </c>
      <c r="C29" s="9">
        <f>'Fane 10.2. Engangstillæg'!E14</f>
        <v>0</v>
      </c>
      <c r="D29" s="8" t="s">
        <v>3</v>
      </c>
      <c r="E29" s="1"/>
    </row>
    <row r="30" spans="1:5" x14ac:dyDescent="0.25">
      <c r="A30" s="1"/>
      <c r="B30" s="36" t="s">
        <v>145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45" t="s">
        <v>11</v>
      </c>
      <c r="C31" s="46"/>
      <c r="D31" s="22"/>
      <c r="E31" s="1"/>
    </row>
    <row r="32" spans="1:5" ht="15" customHeight="1" x14ac:dyDescent="0.25">
      <c r="A32" s="1"/>
      <c r="B32" s="41" t="s">
        <v>19</v>
      </c>
      <c r="C32" s="10">
        <f>'Fane 14. Hist. over-underdæk.'!G14</f>
        <v>0</v>
      </c>
      <c r="D32" s="11" t="s">
        <v>3</v>
      </c>
      <c r="E32" s="1"/>
    </row>
    <row r="33" spans="1:5" ht="15" customHeight="1" x14ac:dyDescent="0.25">
      <c r="A33" s="1"/>
      <c r="B33" s="45" t="s">
        <v>257</v>
      </c>
      <c r="C33" s="46"/>
      <c r="D33" s="22"/>
      <c r="E33" s="1"/>
    </row>
    <row r="34" spans="1:5" x14ac:dyDescent="0.25">
      <c r="A34" s="1"/>
      <c r="B34" s="41" t="s">
        <v>258</v>
      </c>
      <c r="C34" s="10">
        <f>'Fane 8. Korrektioner'!E20</f>
        <v>40000</v>
      </c>
      <c r="D34" s="11" t="s">
        <v>3</v>
      </c>
      <c r="E34" s="1"/>
    </row>
    <row r="35" spans="1:5" x14ac:dyDescent="0.25">
      <c r="A35" s="1"/>
      <c r="B35" s="45" t="s">
        <v>36</v>
      </c>
      <c r="C35" s="12">
        <f>SUM(C22,C24,C26,C30,C32,C34)</f>
        <v>106926619.31278561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3CkQbC3ux1ZJBLXG+qLMo6i7bgVc3xAIRzZP2R8/0ljkSXisRHtvXlPSk+2S8cRaTbLYvCkA8h0JJ3pg30g5A==" saltValue="RDQ2p3VgQWjvgzAi3lHJW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208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21</v>
      </c>
      <c r="C8" s="22"/>
      <c r="D8" s="1"/>
    </row>
    <row r="9" spans="1:4" x14ac:dyDescent="0.25">
      <c r="A9" s="1"/>
      <c r="B9" s="47" t="s">
        <v>235</v>
      </c>
      <c r="C9" s="28">
        <v>1.2699999999999999E-2</v>
      </c>
      <c r="D9" s="1"/>
    </row>
    <row r="10" spans="1:4" x14ac:dyDescent="0.25">
      <c r="A10" s="1"/>
      <c r="B10" s="47" t="s">
        <v>236</v>
      </c>
      <c r="C10" s="28">
        <v>1.7500000000000002E-2</v>
      </c>
      <c r="D10" s="1"/>
    </row>
    <row r="11" spans="1:4" x14ac:dyDescent="0.25">
      <c r="A11" s="1"/>
      <c r="B11" s="47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5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5" t="s">
        <v>204</v>
      </c>
      <c r="C16" s="22"/>
      <c r="D16" s="1"/>
    </row>
    <row r="17" spans="1:4" x14ac:dyDescent="0.25">
      <c r="A17" s="1"/>
      <c r="B17" s="47" t="s">
        <v>237</v>
      </c>
      <c r="C17" s="25">
        <v>9.1000000000000004E-3</v>
      </c>
      <c r="D17" s="1"/>
    </row>
    <row r="18" spans="1:4" x14ac:dyDescent="0.25">
      <c r="A18" s="1"/>
      <c r="B18" s="47" t="s">
        <v>239</v>
      </c>
      <c r="C18" s="25">
        <v>1.77E-2</v>
      </c>
      <c r="D18" s="1"/>
    </row>
    <row r="19" spans="1:4" x14ac:dyDescent="0.25">
      <c r="A19" s="1"/>
      <c r="B19" s="47" t="s">
        <v>238</v>
      </c>
      <c r="C19" s="25">
        <v>8.6999999999999994E-3</v>
      </c>
      <c r="D19" s="1"/>
    </row>
    <row r="20" spans="1:4" x14ac:dyDescent="0.25">
      <c r="A20" s="1"/>
      <c r="B20" s="47" t="s">
        <v>240</v>
      </c>
      <c r="C20" s="34">
        <v>2.8400000000000002E-2</v>
      </c>
      <c r="D20" s="1"/>
    </row>
    <row r="21" spans="1:4" x14ac:dyDescent="0.25">
      <c r="A21" s="1"/>
      <c r="B21" s="45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5" t="s">
        <v>203</v>
      </c>
      <c r="C24" s="22"/>
      <c r="D24" s="1"/>
    </row>
    <row r="25" spans="1:4" x14ac:dyDescent="0.25">
      <c r="A25" s="1"/>
      <c r="B25" s="47" t="s">
        <v>241</v>
      </c>
      <c r="C25" s="28">
        <v>0.02</v>
      </c>
      <c r="D25" s="1"/>
    </row>
    <row r="26" spans="1:4" x14ac:dyDescent="0.25">
      <c r="A26" s="1"/>
      <c r="B26" s="45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k0vRnugu+mrXXEUMqezq7ZpxMe//mv/6bn/qI/zGP0EBm20azo6quhu5Y5bLWVY220fr/XfoEsnYLtPuI+L/ug==" saltValue="cra8LTCqWO+0CEMloMGzl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ht="15" customHeight="1" x14ac:dyDescent="0.25">
      <c r="A9" s="1"/>
      <c r="B9" s="44" t="s">
        <v>37</v>
      </c>
      <c r="C9" s="7">
        <f>'Fane 2.1. Økonomisk ramme 2020'!C22</f>
        <v>104451352.56128454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2132867.3548250468</v>
      </c>
      <c r="D11" s="8" t="s">
        <v>3</v>
      </c>
      <c r="E11" s="1"/>
    </row>
    <row r="12" spans="1:5" ht="15" customHeight="1" x14ac:dyDescent="0.25">
      <c r="A12" s="1"/>
      <c r="B12" s="49" t="s">
        <v>212</v>
      </c>
      <c r="C12" s="7">
        <f>('Fane 2.1. Økonomisk ramme 2020'!C12+'Fane 2.1. Økonomisk ramme 2020'!C14+'Fane 2.1. Økonomisk ramme 2020'!C16)*(1-'Fane 15. Nøgletal'!C25-'Fane 5. Individuelt eff. krav'!G10)*(1+'Fane 15. Nøgletal'!C12)</f>
        <v>0</v>
      </c>
      <c r="D12" s="8" t="s">
        <v>3</v>
      </c>
      <c r="E12" s="1"/>
    </row>
    <row r="13" spans="1:5" ht="15" customHeight="1" x14ac:dyDescent="0.25">
      <c r="A13" s="1"/>
      <c r="B13" s="49" t="s">
        <v>216</v>
      </c>
      <c r="C13" s="7">
        <f>('Fane 2.1. Økonomisk ramme 2020'!C13+'Fane 2.1. Økonomisk ramme 2020'!C15+'Fane 2.1. Økonomisk ramme 2020'!C17)*(1-'Fane 15. Nøgletal'!C20-'Fane 5. Individuelt eff. krav'!G10)*(1+'Fane 15. Nøgletal'!C12)</f>
        <v>1151889.6974893135</v>
      </c>
      <c r="D13" s="8" t="s">
        <v>3</v>
      </c>
      <c r="E13" s="1"/>
    </row>
    <row r="14" spans="1:5" ht="15" customHeight="1" x14ac:dyDescent="0.25">
      <c r="A14" s="1"/>
      <c r="B14" s="50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0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37" t="s">
        <v>27</v>
      </c>
      <c r="C16" s="9">
        <f>(C9-SUM(C10:C13))*'Fane 15. Nøgletal'!C10+SUM(C10:C11)*'Fane 15. Nøgletal'!C11+SUM(C12:C15)*'Fane 15. Nøgletal'!C12</f>
        <v>1829153.1067440612</v>
      </c>
      <c r="D16" s="8" t="s">
        <v>3</v>
      </c>
      <c r="E16" s="1"/>
    </row>
    <row r="17" spans="1:5" ht="15" customHeight="1" x14ac:dyDescent="0.25">
      <c r="A17" s="1"/>
      <c r="B17" s="37" t="s">
        <v>10</v>
      </c>
      <c r="C17" s="9">
        <f>-SUM(C9,C14:C16)*'Fane 5. Individuelt eff. krav'!G10</f>
        <v>-124974.14748953791</v>
      </c>
      <c r="D17" s="8" t="s">
        <v>3</v>
      </c>
      <c r="E17" s="1"/>
    </row>
    <row r="18" spans="1:5" ht="15" customHeight="1" x14ac:dyDescent="0.25">
      <c r="A18" s="1"/>
      <c r="B18" s="37" t="s">
        <v>39</v>
      </c>
      <c r="C18" s="9">
        <f>-'Fane 4.1. Gen. krav - drift'!G36</f>
        <v>-662186.16417861904</v>
      </c>
      <c r="D18" s="8" t="s">
        <v>3</v>
      </c>
      <c r="E18" s="1"/>
    </row>
    <row r="19" spans="1:5" ht="15" customHeight="1" x14ac:dyDescent="0.25">
      <c r="A19" s="1"/>
      <c r="B19" s="37" t="s">
        <v>40</v>
      </c>
      <c r="C19" s="9">
        <f>-'Fane 4.2. Gen. krav - anlæg'!G34</f>
        <v>-1308147.9956103698</v>
      </c>
      <c r="D19" s="8" t="s">
        <v>3</v>
      </c>
      <c r="E19" s="1"/>
    </row>
    <row r="20" spans="1:5" ht="15" customHeight="1" x14ac:dyDescent="0.25">
      <c r="A20" s="1"/>
      <c r="B20" s="38" t="s">
        <v>29</v>
      </c>
      <c r="C20" s="10">
        <f>SUM(C9,C14:C19)</f>
        <v>104185197.36075008</v>
      </c>
      <c r="D20" s="11" t="s">
        <v>3</v>
      </c>
      <c r="E20" s="1"/>
    </row>
    <row r="21" spans="1:5" x14ac:dyDescent="0.25">
      <c r="A21" s="1"/>
      <c r="B21" s="45" t="s">
        <v>17</v>
      </c>
      <c r="C21" s="46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omk.'!C15*(1+'Fane 15. Nøgletal'!C12)+'Fane 6. Ikke-påvirkelige omk.'!C20+'Fane 6. Ikke-påvirkelige omk.'!C28</f>
        <v>2482453.5065056356</v>
      </c>
      <c r="D22" s="11" t="s">
        <v>3</v>
      </c>
      <c r="E22" s="1"/>
    </row>
    <row r="23" spans="1:5" ht="15" customHeight="1" x14ac:dyDescent="0.25">
      <c r="A23" s="1"/>
      <c r="B23" s="45" t="s">
        <v>143</v>
      </c>
      <c r="C23" s="46"/>
      <c r="D23" s="22"/>
      <c r="E23" s="1"/>
    </row>
    <row r="24" spans="1:5" ht="15" customHeight="1" x14ac:dyDescent="0.25">
      <c r="A24" s="1"/>
      <c r="B24" s="36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5" t="s">
        <v>142</v>
      </c>
      <c r="C25" s="46"/>
      <c r="D25" s="22"/>
      <c r="E25" s="1"/>
    </row>
    <row r="26" spans="1:5" ht="15" customHeight="1" x14ac:dyDescent="0.25">
      <c r="A26" s="1"/>
      <c r="B26" s="50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0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36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5" t="s">
        <v>45</v>
      </c>
      <c r="C29" s="12">
        <f>SUM(C20,C22,C24,C28,)</f>
        <v>106667650.86725572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c4l6EBPSHf3uEqU4BFg1pLPs2AfH1vwSP4cwHOvN3BGAXvlY2CLTtyKX8Dhz1B3d+2etyqyMzNi3j193g3zxg==" saltValue="HNeBdJ1BUEXsw9PRJhDBv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4" t="s">
        <v>38</v>
      </c>
      <c r="C8" s="7">
        <f>'Fane 2.2. Økonomisk ramme 2021'!C20</f>
        <v>104185197.36075008</v>
      </c>
      <c r="D8" s="8" t="s">
        <v>3</v>
      </c>
      <c r="E8" s="1"/>
    </row>
    <row r="9" spans="1:5" ht="15" customHeight="1" x14ac:dyDescent="0.25">
      <c r="A9" s="1"/>
      <c r="B9" s="44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4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37" t="s">
        <v>27</v>
      </c>
      <c r="C11" s="9">
        <f>SUM(C8:C10)*'Fane 15. Nøgletal'!C12</f>
        <v>2052448.3880067763</v>
      </c>
      <c r="D11" s="8" t="s">
        <v>3</v>
      </c>
      <c r="E11" s="1"/>
    </row>
    <row r="12" spans="1:5" ht="15" customHeight="1" x14ac:dyDescent="0.25">
      <c r="A12" s="1"/>
      <c r="B12" s="37" t="s">
        <v>10</v>
      </c>
      <c r="C12" s="9">
        <f>-SUM(C8:C11)*'Fane 5. Individuelt eff. krav'!G10</f>
        <v>-124923.74895371246</v>
      </c>
      <c r="D12" s="8" t="s">
        <v>3</v>
      </c>
      <c r="E12" s="1"/>
    </row>
    <row r="13" spans="1:5" ht="15" customHeight="1" x14ac:dyDescent="0.25">
      <c r="A13" s="1"/>
      <c r="B13" s="37" t="s">
        <v>39</v>
      </c>
      <c r="C13" s="9">
        <f>-'Fane 4.1. Gen. krav - drift'!G42</f>
        <v>-661726.60698067921</v>
      </c>
      <c r="D13" s="8" t="s">
        <v>3</v>
      </c>
      <c r="E13" s="1"/>
    </row>
    <row r="14" spans="1:5" ht="15" customHeight="1" x14ac:dyDescent="0.25">
      <c r="A14" s="1"/>
      <c r="B14" s="37" t="s">
        <v>40</v>
      </c>
      <c r="C14" s="9">
        <f>-'Fane 4.2. Gen. krav - anlæg'!G40</f>
        <v>-2113841.0063279634</v>
      </c>
      <c r="D14" s="8" t="s">
        <v>3</v>
      </c>
      <c r="E14" s="1"/>
    </row>
    <row r="15" spans="1:5" x14ac:dyDescent="0.25">
      <c r="A15" s="1"/>
      <c r="B15" s="38" t="s">
        <v>29</v>
      </c>
      <c r="C15" s="10">
        <f>SUM(C8:C14)</f>
        <v>103337154.3864945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15. Nøgletal'!C12)^2+'Fane 6. Ikke-påvirkelige omk.'!C21+'Fane 6. Ikke-påvirkelige omk.'!C29</f>
        <v>2530569.8405837966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36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0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1" t="s">
        <v>210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5" t="s">
        <v>46</v>
      </c>
      <c r="C26" s="12">
        <f>SUM(C15,C17,C19,C23,C25)</f>
        <v>105867724.2270783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3c0naRL/hUs11o7Cq9XJCZDlqmX9XK4J9WrPFZsSv4v4rxRz+PYy0FyTZQrQGpBWCZEzZcRfEoZ6ZnzaYnSPg==" saltValue="xM4RXZ0TvyFfF4aXe8fQ9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4" t="s">
        <v>219</v>
      </c>
      <c r="C8" s="7">
        <f>'Fane 2.3. Økonomisk ramme 2022'!C15</f>
        <v>103337154.3864945</v>
      </c>
      <c r="D8" s="8" t="s">
        <v>3</v>
      </c>
      <c r="E8" s="1"/>
    </row>
    <row r="9" spans="1:5" ht="15" customHeight="1" x14ac:dyDescent="0.25">
      <c r="A9" s="1"/>
      <c r="B9" s="44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4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37" t="s">
        <v>27</v>
      </c>
      <c r="C11" s="9">
        <f>C8*'Fane 15. Nøgletal'!C12</f>
        <v>2035741.9414139416</v>
      </c>
      <c r="D11" s="8" t="s">
        <v>3</v>
      </c>
      <c r="E11" s="1"/>
    </row>
    <row r="12" spans="1:5" ht="15" customHeight="1" x14ac:dyDescent="0.25">
      <c r="A12" s="1"/>
      <c r="B12" s="37" t="s">
        <v>10</v>
      </c>
      <c r="C12" s="9">
        <f>-SUM(C8:C11)*'Fane 5. Individuelt eff. krav'!G10</f>
        <v>-123906.89905275163</v>
      </c>
      <c r="D12" s="8" t="s">
        <v>3</v>
      </c>
      <c r="E12" s="1"/>
    </row>
    <row r="13" spans="1:5" ht="15" customHeight="1" x14ac:dyDescent="0.25">
      <c r="A13" s="1"/>
      <c r="B13" s="37" t="s">
        <v>39</v>
      </c>
      <c r="C13" s="9">
        <f>-'Fane 4.1. Gen. krav - drift'!G48</f>
        <v>-661267.36871543468</v>
      </c>
      <c r="D13" s="8" t="s">
        <v>3</v>
      </c>
      <c r="E13" s="1"/>
    </row>
    <row r="14" spans="1:5" ht="15" customHeight="1" x14ac:dyDescent="0.25">
      <c r="A14" s="1"/>
      <c r="B14" s="37" t="s">
        <v>40</v>
      </c>
      <c r="C14" s="9">
        <f>-'Fane 4.2. Gen. krav - anlæg'!G46</f>
        <v>-2094267.9378066901</v>
      </c>
      <c r="D14" s="8" t="s">
        <v>3</v>
      </c>
      <c r="E14" s="1"/>
    </row>
    <row r="15" spans="1:5" x14ac:dyDescent="0.25">
      <c r="A15" s="1"/>
      <c r="B15" s="38" t="s">
        <v>29</v>
      </c>
      <c r="C15" s="10">
        <f>SUM(C8:C14)</f>
        <v>102493454.12233356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15. Nøgletal'!C12)^3+'Fane 6. Ikke-påvirkelige omk.'!C22+'Fane 6. Ikke-påvirkelige omk.'!C30</f>
        <v>2579634.0664432971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36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0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1" t="s">
        <v>210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5" t="s">
        <v>156</v>
      </c>
      <c r="C26" s="12">
        <f>SUM(C15,C17,C19,C23,C25)</f>
        <v>105073088.18877685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+H7U9IqH6M8y2HyjODSUG7e2uF21hTsDau3SJmBZEmImLvKn0l8fj8qoDO4oXQfplmlhSFYmRMIZlilZuv+buQ==" saltValue="zBRXJoUOoHNNx+aCmHtP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253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81</v>
      </c>
      <c r="C8" s="46"/>
      <c r="D8" s="46"/>
      <c r="E8" s="46"/>
      <c r="F8" s="22"/>
      <c r="G8" s="1"/>
    </row>
    <row r="9" spans="1:7" x14ac:dyDescent="0.25">
      <c r="A9" s="1"/>
      <c r="B9" s="85" t="s">
        <v>79</v>
      </c>
      <c r="C9" s="86"/>
      <c r="D9" s="87"/>
      <c r="E9" s="7">
        <v>101698497.05831978</v>
      </c>
      <c r="F9" s="8" t="s">
        <v>3</v>
      </c>
      <c r="G9" s="1"/>
    </row>
    <row r="10" spans="1:7" x14ac:dyDescent="0.25">
      <c r="A10" s="1"/>
      <c r="B10" s="88" t="s">
        <v>64</v>
      </c>
      <c r="C10" s="89"/>
      <c r="D10" s="90"/>
      <c r="E10" s="7">
        <v>0</v>
      </c>
      <c r="F10" s="8" t="s">
        <v>3</v>
      </c>
      <c r="G10" s="1"/>
    </row>
    <row r="11" spans="1:7" x14ac:dyDescent="0.25">
      <c r="A11" s="1"/>
      <c r="B11" s="88" t="s">
        <v>65</v>
      </c>
      <c r="C11" s="89"/>
      <c r="D11" s="90"/>
      <c r="E11" s="9">
        <v>2103914.4685973367</v>
      </c>
      <c r="F11" s="8" t="s">
        <v>3</v>
      </c>
      <c r="G11" s="1"/>
    </row>
    <row r="12" spans="1:7" x14ac:dyDescent="0.25">
      <c r="A12" s="1"/>
      <c r="B12" s="88" t="s">
        <v>42</v>
      </c>
      <c r="C12" s="89"/>
      <c r="D12" s="90"/>
      <c r="E12" s="9">
        <v>0</v>
      </c>
      <c r="F12" s="8" t="s">
        <v>3</v>
      </c>
      <c r="G12" s="1"/>
    </row>
    <row r="13" spans="1:7" x14ac:dyDescent="0.25">
      <c r="A13" s="1"/>
      <c r="B13" s="88" t="s">
        <v>41</v>
      </c>
      <c r="C13" s="89"/>
      <c r="D13" s="90"/>
      <c r="E13" s="9">
        <v>0</v>
      </c>
      <c r="F13" s="8" t="s">
        <v>3</v>
      </c>
      <c r="G13" s="1"/>
    </row>
    <row r="14" spans="1:7" x14ac:dyDescent="0.25">
      <c r="A14" s="1"/>
      <c r="B14" s="88" t="s">
        <v>44</v>
      </c>
      <c r="C14" s="89"/>
      <c r="D14" s="90"/>
      <c r="E14" s="9">
        <v>0</v>
      </c>
      <c r="F14" s="8" t="s">
        <v>3</v>
      </c>
      <c r="G14" s="1"/>
    </row>
    <row r="15" spans="1:7" x14ac:dyDescent="0.25">
      <c r="A15" s="1"/>
      <c r="B15" s="88" t="s">
        <v>43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88" t="s">
        <v>27</v>
      </c>
      <c r="C16" s="89"/>
      <c r="D16" s="90"/>
      <c r="E16" s="9">
        <f>E9*'Fane 15. Nøgletal'!C10+SUM(E10:E15)*'Fane 15. Nøgletal'!C11</f>
        <v>1815279.8530398915</v>
      </c>
      <c r="F16" s="8" t="s">
        <v>3</v>
      </c>
      <c r="G16" s="1"/>
    </row>
    <row r="17" spans="1:7" x14ac:dyDescent="0.25">
      <c r="A17" s="1"/>
      <c r="B17" s="88" t="s">
        <v>10</v>
      </c>
      <c r="C17" s="89"/>
      <c r="D17" s="90"/>
      <c r="E17" s="9">
        <f>-SUM(E9:E16)*'Fane 5. Individuelt eff. krav'!G10</f>
        <v>-124194.75102284843</v>
      </c>
      <c r="F17" s="8" t="s">
        <v>3</v>
      </c>
      <c r="G17" s="1"/>
    </row>
    <row r="18" spans="1:7" x14ac:dyDescent="0.25">
      <c r="A18" s="1"/>
      <c r="B18" s="88" t="s">
        <v>39</v>
      </c>
      <c r="C18" s="89"/>
      <c r="D18" s="90"/>
      <c r="E18" s="9">
        <f>-'Fane 4.1. Gen. krav - drift'!G21</f>
        <v>-665976.82267110224</v>
      </c>
      <c r="F18" s="8" t="s">
        <v>3</v>
      </c>
      <c r="G18" s="1"/>
    </row>
    <row r="19" spans="1:7" x14ac:dyDescent="0.25">
      <c r="A19" s="1"/>
      <c r="B19" s="88" t="s">
        <v>40</v>
      </c>
      <c r="C19" s="89"/>
      <c r="D19" s="90"/>
      <c r="E19" s="9">
        <f>-'Fane 4.2. Gen. krav - anlæg'!G19</f>
        <v>-1275729.7581705803</v>
      </c>
      <c r="F19" s="8" t="s">
        <v>3</v>
      </c>
      <c r="G19" s="1"/>
    </row>
    <row r="20" spans="1:7" x14ac:dyDescent="0.25">
      <c r="A20" s="1"/>
      <c r="B20" s="99" t="s">
        <v>29</v>
      </c>
      <c r="C20" s="100"/>
      <c r="D20" s="101"/>
      <c r="E20" s="10">
        <f>SUM(E9:E19)</f>
        <v>103551790.04809248</v>
      </c>
      <c r="F20" s="11" t="s">
        <v>3</v>
      </c>
      <c r="G20" s="1"/>
    </row>
    <row r="21" spans="1:7" x14ac:dyDescent="0.25">
      <c r="A21" s="1"/>
      <c r="B21" s="93" t="s">
        <v>143</v>
      </c>
      <c r="C21" s="94"/>
      <c r="D21" s="94"/>
      <c r="E21" s="94"/>
      <c r="F21" s="95"/>
      <c r="G21" s="1"/>
    </row>
    <row r="22" spans="1:7" x14ac:dyDescent="0.25">
      <c r="A22" s="1"/>
      <c r="B22" s="75" t="s">
        <v>249</v>
      </c>
      <c r="C22" s="76"/>
      <c r="D22" s="77"/>
      <c r="E22" s="35">
        <v>0</v>
      </c>
      <c r="F22" s="8" t="s">
        <v>3</v>
      </c>
      <c r="G22" s="1"/>
    </row>
    <row r="23" spans="1:7" x14ac:dyDescent="0.25">
      <c r="A23" s="1"/>
      <c r="B23" s="75" t="s">
        <v>250</v>
      </c>
      <c r="C23" s="76"/>
      <c r="D23" s="77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96" t="s">
        <v>251</v>
      </c>
      <c r="C24" s="97"/>
      <c r="D24" s="98"/>
      <c r="E24" s="10">
        <f>SUM(E22:E23)</f>
        <v>0</v>
      </c>
      <c r="F24" s="11" t="s">
        <v>3</v>
      </c>
      <c r="G24" s="1"/>
    </row>
    <row r="25" spans="1:7" x14ac:dyDescent="0.25">
      <c r="A25" s="1"/>
      <c r="B25" s="91" t="s">
        <v>17</v>
      </c>
      <c r="C25" s="92"/>
      <c r="D25" s="92"/>
      <c r="E25" s="46"/>
      <c r="F25" s="22"/>
      <c r="G25" s="1"/>
    </row>
    <row r="26" spans="1:7" x14ac:dyDescent="0.25">
      <c r="A26" s="1"/>
      <c r="B26" s="81" t="s">
        <v>17</v>
      </c>
      <c r="C26" s="82"/>
      <c r="D26" s="83"/>
      <c r="E26" s="10">
        <v>8843293.3195979986</v>
      </c>
      <c r="F26" s="11" t="s">
        <v>3</v>
      </c>
      <c r="G26" s="1"/>
    </row>
    <row r="27" spans="1:7" x14ac:dyDescent="0.25">
      <c r="A27" s="1"/>
      <c r="B27" s="45" t="s">
        <v>80</v>
      </c>
      <c r="C27" s="46"/>
      <c r="D27" s="46"/>
      <c r="E27" s="46"/>
      <c r="F27" s="22"/>
      <c r="G27" s="1"/>
    </row>
    <row r="28" spans="1:7" ht="27" customHeight="1" x14ac:dyDescent="0.25">
      <c r="A28" s="1"/>
      <c r="B28" s="78" t="s">
        <v>132</v>
      </c>
      <c r="C28" s="79"/>
      <c r="D28" s="80"/>
      <c r="E28" s="10">
        <v>36949.986826477434</v>
      </c>
      <c r="F28" s="11" t="s">
        <v>3</v>
      </c>
      <c r="G28" s="1"/>
    </row>
    <row r="29" spans="1:7" x14ac:dyDescent="0.25">
      <c r="A29" s="1"/>
      <c r="B29" s="45" t="s">
        <v>11</v>
      </c>
      <c r="C29" s="46"/>
      <c r="D29" s="46"/>
      <c r="E29" s="46"/>
      <c r="F29" s="22"/>
      <c r="G29" s="1"/>
    </row>
    <row r="30" spans="1:7" x14ac:dyDescent="0.25">
      <c r="A30" s="1"/>
      <c r="B30" s="81" t="s">
        <v>19</v>
      </c>
      <c r="C30" s="82"/>
      <c r="D30" s="83"/>
      <c r="E30" s="10">
        <v>0</v>
      </c>
      <c r="F30" s="11" t="s">
        <v>3</v>
      </c>
      <c r="G30" s="1"/>
    </row>
    <row r="31" spans="1:7" x14ac:dyDescent="0.25">
      <c r="A31" s="1"/>
      <c r="B31" s="45" t="s">
        <v>24</v>
      </c>
      <c r="C31" s="46"/>
      <c r="D31" s="46"/>
      <c r="E31" s="12">
        <f>SUM(E30,E28,E26,E20,E24)</f>
        <v>112432033.35451695</v>
      </c>
      <c r="F31" s="13" t="s">
        <v>3</v>
      </c>
      <c r="G31" s="1"/>
    </row>
    <row r="32" spans="1:7" ht="27" customHeight="1" x14ac:dyDescent="0.25">
      <c r="A32" s="1"/>
      <c r="B32" s="75" t="s">
        <v>209</v>
      </c>
      <c r="C32" s="76"/>
      <c r="D32" s="76"/>
      <c r="E32" s="76"/>
      <c r="F32" s="7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Q+ynjzm6vhs449SJW4sSMANC5Q2lNWbW3/LQPO0pk9gbaAhjBnlUW/bEVTSetT/032kZopSuw5Nina8iP34cQ==" saltValue="tw1C+kcLLEB6t6Zc97g+pQ==" spinCount="100000" sheet="1" objects="1" scenarios="1"/>
  <mergeCells count="22">
    <mergeCell ref="B21:F21"/>
    <mergeCell ref="B22:D22"/>
    <mergeCell ref="B23:D23"/>
    <mergeCell ref="B24:D24"/>
    <mergeCell ref="B19:D19"/>
    <mergeCell ref="B20:D20"/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234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3" t="s">
        <v>94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83</v>
      </c>
      <c r="C5" s="103"/>
      <c r="D5" s="103"/>
      <c r="E5" s="103"/>
      <c r="F5" s="104"/>
      <c r="G5" s="26">
        <v>33489459.031905983</v>
      </c>
      <c r="H5" s="14" t="s">
        <v>3</v>
      </c>
      <c r="I5" s="1"/>
    </row>
    <row r="6" spans="1:9" x14ac:dyDescent="0.25">
      <c r="A6" s="1"/>
      <c r="B6" s="75" t="s">
        <v>252</v>
      </c>
      <c r="C6" s="76"/>
      <c r="D6" s="76"/>
      <c r="E6" s="76"/>
      <c r="F6" s="77"/>
      <c r="G6" s="26">
        <v>0</v>
      </c>
      <c r="H6" s="14" t="s">
        <v>3</v>
      </c>
      <c r="I6" s="1"/>
    </row>
    <row r="7" spans="1:9" x14ac:dyDescent="0.25">
      <c r="A7" s="1"/>
      <c r="B7" s="102" t="s">
        <v>84</v>
      </c>
      <c r="C7" s="103"/>
      <c r="D7" s="103"/>
      <c r="E7" s="103"/>
      <c r="F7" s="104"/>
      <c r="G7" s="26">
        <f>SUM(G5:G6)*'Fane 15. Nøgletal'!C25</f>
        <v>669789.18063811969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3" t="s">
        <v>95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102" t="s">
        <v>85</v>
      </c>
      <c r="C11" s="103"/>
      <c r="D11" s="103"/>
      <c r="E11" s="103"/>
      <c r="F11" s="104"/>
      <c r="G11" s="26">
        <f>(G5-G7)*(1+'Fane 15. Nøgletal'!C10)</f>
        <v>33394014.073665053</v>
      </c>
      <c r="H11" s="14" t="s">
        <v>3</v>
      </c>
      <c r="I11" s="1"/>
    </row>
    <row r="12" spans="1:9" x14ac:dyDescent="0.25">
      <c r="A12" s="1"/>
      <c r="B12" s="102" t="s">
        <v>255</v>
      </c>
      <c r="C12" s="103"/>
      <c r="D12" s="103"/>
      <c r="E12" s="103"/>
      <c r="F12" s="104"/>
      <c r="G12" s="26">
        <v>0</v>
      </c>
      <c r="H12" s="14" t="s">
        <v>3</v>
      </c>
      <c r="I12" s="1"/>
    </row>
    <row r="13" spans="1:9" x14ac:dyDescent="0.25">
      <c r="A13" s="1"/>
      <c r="B13" s="75" t="s">
        <v>249</v>
      </c>
      <c r="C13" s="76"/>
      <c r="D13" s="76"/>
      <c r="E13" s="76"/>
      <c r="F13" s="77"/>
      <c r="G13" s="26">
        <v>0</v>
      </c>
      <c r="H13" s="14" t="s">
        <v>3</v>
      </c>
      <c r="I13" s="1"/>
    </row>
    <row r="14" spans="1:9" x14ac:dyDescent="0.25">
      <c r="A14" s="1"/>
      <c r="B14" s="108" t="s">
        <v>86</v>
      </c>
      <c r="C14" s="106"/>
      <c r="D14" s="106"/>
      <c r="E14" s="106"/>
      <c r="F14" s="107"/>
      <c r="G14" s="26">
        <v>0</v>
      </c>
      <c r="H14" s="14" t="s">
        <v>3</v>
      </c>
      <c r="I14" s="1"/>
    </row>
    <row r="15" spans="1:9" x14ac:dyDescent="0.25">
      <c r="A15" s="1"/>
      <c r="B15" s="102" t="s">
        <v>87</v>
      </c>
      <c r="C15" s="103"/>
      <c r="D15" s="103"/>
      <c r="E15" s="103"/>
      <c r="F15" s="104"/>
      <c r="G15" s="26">
        <f>SUM(G11:G14)*'Fane 15. Nøgletal'!C25</f>
        <v>667880.28147330112</v>
      </c>
      <c r="H15" s="14" t="s">
        <v>3</v>
      </c>
      <c r="I15" s="1"/>
    </row>
    <row r="16" spans="1:9" x14ac:dyDescent="0.25">
      <c r="A16" s="1"/>
      <c r="B16" s="45"/>
      <c r="C16" s="46"/>
      <c r="D16" s="46"/>
      <c r="E16" s="46"/>
      <c r="F16" s="46"/>
      <c r="G16" s="46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3" t="s">
        <v>96</v>
      </c>
      <c r="C18" s="94"/>
      <c r="D18" s="94"/>
      <c r="E18" s="94"/>
      <c r="F18" s="94"/>
      <c r="G18" s="94"/>
      <c r="H18" s="95"/>
      <c r="I18" s="1"/>
    </row>
    <row r="19" spans="1:9" x14ac:dyDescent="0.25">
      <c r="A19" s="1"/>
      <c r="B19" s="102" t="s">
        <v>88</v>
      </c>
      <c r="C19" s="103"/>
      <c r="D19" s="103"/>
      <c r="E19" s="103"/>
      <c r="F19" s="104"/>
      <c r="G19" s="26">
        <f>(G11+G12+G14-G15)*(1+'Fane 15. Nøgletal'!C10)</f>
        <v>33298841.133555111</v>
      </c>
      <c r="H19" s="14" t="s">
        <v>3</v>
      </c>
      <c r="I19" s="1"/>
    </row>
    <row r="20" spans="1:9" x14ac:dyDescent="0.25">
      <c r="A20" s="1"/>
      <c r="B20" s="108" t="s">
        <v>89</v>
      </c>
      <c r="C20" s="106"/>
      <c r="D20" s="106"/>
      <c r="E20" s="106"/>
      <c r="F20" s="107"/>
      <c r="G20" s="26">
        <v>0</v>
      </c>
      <c r="H20" s="14" t="s">
        <v>3</v>
      </c>
      <c r="I20" s="1"/>
    </row>
    <row r="21" spans="1:9" x14ac:dyDescent="0.25">
      <c r="A21" s="1"/>
      <c r="B21" s="102" t="s">
        <v>90</v>
      </c>
      <c r="C21" s="103"/>
      <c r="D21" s="103"/>
      <c r="E21" s="103"/>
      <c r="F21" s="104"/>
      <c r="G21" s="26">
        <f>(G19+G20)*'Fane 15. Nøgletal'!C25</f>
        <v>665976.82267110224</v>
      </c>
      <c r="H21" s="14" t="s">
        <v>3</v>
      </c>
      <c r="I21" s="1"/>
    </row>
    <row r="22" spans="1:9" x14ac:dyDescent="0.25">
      <c r="A22" s="1"/>
      <c r="B22" s="45"/>
      <c r="C22" s="46"/>
      <c r="D22" s="46"/>
      <c r="E22" s="46"/>
      <c r="F22" s="46"/>
      <c r="G22" s="46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97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2" t="s">
        <v>91</v>
      </c>
      <c r="C25" s="103"/>
      <c r="D25" s="103"/>
      <c r="E25" s="103"/>
      <c r="F25" s="104"/>
      <c r="G25" s="26">
        <f>G19*(1-'Fane 15. Nøgletal'!C25)*(1+'Fane 15. Nøgletal'!C10)+G20*(1-'Fane 15. Nøgletal'!C25)*(1+'Fane 15. Nøgletal'!C11)</f>
        <v>33203939.436324477</v>
      </c>
      <c r="H25" s="14" t="s">
        <v>3</v>
      </c>
      <c r="I25" s="1"/>
    </row>
    <row r="26" spans="1:9" x14ac:dyDescent="0.25">
      <c r="A26" s="1"/>
      <c r="B26" s="105" t="s">
        <v>247</v>
      </c>
      <c r="C26" s="106"/>
      <c r="D26" s="106"/>
      <c r="E26" s="106"/>
      <c r="F26" s="107"/>
      <c r="G26" s="26">
        <f>G20*(1-'Fane 15. Nøgletal'!C25)*(1+'Fane 15. Nøgletal'!C11)</f>
        <v>0</v>
      </c>
      <c r="H26" s="14" t="s">
        <v>3</v>
      </c>
      <c r="I26" s="1"/>
    </row>
    <row r="27" spans="1:9" x14ac:dyDescent="0.25">
      <c r="A27" s="1"/>
      <c r="B27" s="108" t="s">
        <v>92</v>
      </c>
      <c r="C27" s="106"/>
      <c r="D27" s="106"/>
      <c r="E27" s="106"/>
      <c r="F27" s="107"/>
      <c r="G27" s="26">
        <f>('Fane 2.1. Økonomisk ramme 2020'!C12+'Fane 2.1. Økonomisk ramme 2020'!C14+'Fane 2.1. Økonomisk ramme 2020'!C16)*(1+'Fane 15. Nøgletal'!C12)</f>
        <v>0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SUM(G25,G27)*'Fane 15. Nøgletal'!C25</f>
        <v>664078.78872648953</v>
      </c>
      <c r="H28" s="14" t="s">
        <v>3</v>
      </c>
      <c r="I28" s="1"/>
    </row>
    <row r="29" spans="1:9" x14ac:dyDescent="0.25">
      <c r="A29" s="1"/>
      <c r="B29" s="45"/>
      <c r="C29" s="46"/>
      <c r="D29" s="46"/>
      <c r="E29" s="46"/>
      <c r="F29" s="46"/>
      <c r="G29" s="46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(G25-G26)*(1-'Fane 15. Nøgletal'!C25)*(1+'Fane 15. Nøgletal'!C10)+G26*(1-'Fane 15. Nøgletal'!C25)*(1+'Fane 15. Nøgletal'!C11)+G27*(1-'Fane 15. Nøgletal'!C25)*(1+'Fane 15. Nøgletal'!C12)</f>
        <v>33109308.208930954</v>
      </c>
      <c r="H32" s="14" t="s">
        <v>3</v>
      </c>
      <c r="I32" s="1"/>
    </row>
    <row r="33" spans="1:9" x14ac:dyDescent="0.25">
      <c r="A33" s="1"/>
      <c r="B33" s="105" t="s">
        <v>247</v>
      </c>
      <c r="C33" s="106"/>
      <c r="D33" s="106"/>
      <c r="E33" s="106"/>
      <c r="F33" s="107"/>
      <c r="G33" s="26">
        <f>G26*(1-'Fane 15. Nøgletal'!C25)*(1+'Fane 15. Nøgletal'!C11)</f>
        <v>0</v>
      </c>
      <c r="H33" s="14" t="s">
        <v>3</v>
      </c>
      <c r="I33" s="1"/>
    </row>
    <row r="34" spans="1:9" x14ac:dyDescent="0.25">
      <c r="A34" s="1"/>
      <c r="B34" s="105" t="s">
        <v>248</v>
      </c>
      <c r="C34" s="106"/>
      <c r="D34" s="106"/>
      <c r="E34" s="106"/>
      <c r="F34" s="107"/>
      <c r="G34" s="26">
        <f>G27*(1-'Fane 15. Nøgletal'!C25)*(1+'Fane 15. Nøgletal'!C12)</f>
        <v>0</v>
      </c>
      <c r="H34" s="14" t="s">
        <v>3</v>
      </c>
      <c r="I34" s="1"/>
    </row>
    <row r="35" spans="1:9" x14ac:dyDescent="0.25">
      <c r="A35" s="1"/>
      <c r="B35" s="102" t="s">
        <v>147</v>
      </c>
      <c r="C35" s="103"/>
      <c r="D35" s="103"/>
      <c r="E35" s="103"/>
      <c r="F35" s="104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2" t="s">
        <v>102</v>
      </c>
      <c r="C36" s="103"/>
      <c r="D36" s="103"/>
      <c r="E36" s="103"/>
      <c r="F36" s="104"/>
      <c r="G36" s="26">
        <f>SUM(G32,G35)*'Fane 15. Nøgletal'!C25</f>
        <v>662186.16417861904</v>
      </c>
      <c r="H36" s="14" t="s">
        <v>3</v>
      </c>
      <c r="I36" s="1"/>
    </row>
    <row r="37" spans="1:9" x14ac:dyDescent="0.25">
      <c r="A37" s="1"/>
      <c r="B37" s="45"/>
      <c r="C37" s="46"/>
      <c r="D37" s="46"/>
      <c r="E37" s="46"/>
      <c r="F37" s="46"/>
      <c r="G37" s="46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3" t="s">
        <v>127</v>
      </c>
      <c r="C39" s="94"/>
      <c r="D39" s="94"/>
      <c r="E39" s="94"/>
      <c r="F39" s="94"/>
      <c r="G39" s="94"/>
      <c r="H39" s="95"/>
      <c r="I39" s="1"/>
    </row>
    <row r="40" spans="1:9" x14ac:dyDescent="0.25">
      <c r="A40" s="1"/>
      <c r="B40" s="102" t="s">
        <v>126</v>
      </c>
      <c r="C40" s="103"/>
      <c r="D40" s="103"/>
      <c r="E40" s="103"/>
      <c r="F40" s="104"/>
      <c r="G40" s="26">
        <f>(SUM(G32,G35)-G36)*(1+'Fane 15. Nøgletal'!C12)</f>
        <v>33086330.349033959</v>
      </c>
      <c r="H40" s="14" t="s">
        <v>3</v>
      </c>
      <c r="I40" s="1"/>
    </row>
    <row r="41" spans="1:9" x14ac:dyDescent="0.25">
      <c r="A41" s="1"/>
      <c r="B41" s="102" t="s">
        <v>148</v>
      </c>
      <c r="C41" s="103"/>
      <c r="D41" s="103"/>
      <c r="E41" s="103"/>
      <c r="F41" s="104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2" t="s">
        <v>103</v>
      </c>
      <c r="C42" s="103"/>
      <c r="D42" s="103"/>
      <c r="E42" s="103"/>
      <c r="F42" s="104"/>
      <c r="G42" s="26">
        <f>(G40+G41)*'Fane 15. Nøgletal'!C25</f>
        <v>661726.60698067921</v>
      </c>
      <c r="H42" s="14" t="s">
        <v>3</v>
      </c>
      <c r="I42" s="1"/>
    </row>
    <row r="43" spans="1:9" x14ac:dyDescent="0.25">
      <c r="A43" s="1"/>
      <c r="B43" s="45"/>
      <c r="C43" s="46"/>
      <c r="D43" s="46"/>
      <c r="E43" s="46"/>
      <c r="F43" s="46"/>
      <c r="G43" s="46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3" t="s">
        <v>128</v>
      </c>
      <c r="C45" s="94"/>
      <c r="D45" s="94"/>
      <c r="E45" s="94"/>
      <c r="F45" s="94"/>
      <c r="G45" s="94"/>
      <c r="H45" s="95"/>
      <c r="I45" s="1"/>
    </row>
    <row r="46" spans="1:9" x14ac:dyDescent="0.25">
      <c r="A46" s="1"/>
      <c r="B46" s="102" t="s">
        <v>125</v>
      </c>
      <c r="C46" s="103"/>
      <c r="D46" s="103"/>
      <c r="E46" s="103"/>
      <c r="F46" s="104"/>
      <c r="G46" s="26">
        <f>(G40-G42)*(1+'Fane 15. Nøgletal'!C12)</f>
        <v>33063368.435771734</v>
      </c>
      <c r="H46" s="14" t="s">
        <v>3</v>
      </c>
      <c r="I46" s="1"/>
    </row>
    <row r="47" spans="1:9" x14ac:dyDescent="0.25">
      <c r="A47" s="1"/>
      <c r="B47" s="102" t="s">
        <v>149</v>
      </c>
      <c r="C47" s="103"/>
      <c r="D47" s="103"/>
      <c r="E47" s="103"/>
      <c r="F47" s="104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2" t="s">
        <v>104</v>
      </c>
      <c r="C48" s="103"/>
      <c r="D48" s="103"/>
      <c r="E48" s="103"/>
      <c r="F48" s="104"/>
      <c r="G48" s="26">
        <f>(G46+G47)*'Fane 15. Nøgletal'!C25</f>
        <v>661267.36871543468</v>
      </c>
      <c r="H48" s="14" t="s">
        <v>3</v>
      </c>
      <c r="I48" s="1"/>
    </row>
    <row r="49" spans="1:9" x14ac:dyDescent="0.25">
      <c r="A49" s="1"/>
      <c r="B49" s="45"/>
      <c r="C49" s="46"/>
      <c r="D49" s="46"/>
      <c r="E49" s="46"/>
      <c r="F49" s="46"/>
      <c r="G49" s="46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oZ9ExVTnsnC4mo8o31FKB4Ohw0mx15YRyHtcpdLqQtGTC3AJX+4VGEMPuBaIUAbbkLeNIbx3JsjvDm9o4+x+Q==" saltValue="rqPQEhK5tGREQnbF4JaBhg==" spinCount="100000" sheet="1" objects="1" scenarios="1"/>
  <mergeCells count="34"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2:F12"/>
    <mergeCell ref="B1:H3"/>
    <mergeCell ref="B4:H4"/>
    <mergeCell ref="B5:F5"/>
    <mergeCell ref="B7:F7"/>
    <mergeCell ref="B11:F11"/>
    <mergeCell ref="B10:H10"/>
    <mergeCell ref="B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9" t="s">
        <v>233</v>
      </c>
      <c r="C2" s="109"/>
      <c r="D2" s="109"/>
      <c r="E2" s="109"/>
      <c r="F2" s="109"/>
      <c r="G2" s="109"/>
      <c r="H2" s="109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70397788.210642904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640619.87271685048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70977918.783839777</v>
      </c>
      <c r="H10" s="14" t="s">
        <v>3</v>
      </c>
      <c r="I10" s="1"/>
    </row>
    <row r="11" spans="1:9" x14ac:dyDescent="0.25">
      <c r="A11" s="1"/>
      <c r="B11" s="102" t="s">
        <v>256</v>
      </c>
      <c r="C11" s="103"/>
      <c r="D11" s="103"/>
      <c r="E11" s="103"/>
      <c r="F11" s="104"/>
      <c r="G11" s="26">
        <v>81827.2974011521</v>
      </c>
      <c r="H11" s="14" t="s">
        <v>3</v>
      </c>
      <c r="I11" s="1"/>
    </row>
    <row r="12" spans="1:9" x14ac:dyDescent="0.25">
      <c r="A12" s="1"/>
      <c r="B12" s="108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1257757.5056379645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(G10+G11+G12-G13)*(1+'Fane 15. Nøgletal'!C10)</f>
        <v>71023523.375676021</v>
      </c>
      <c r="H17" s="14" t="s">
        <v>3</v>
      </c>
      <c r="I17" s="1"/>
    </row>
    <row r="18" spans="1:9" x14ac:dyDescent="0.25">
      <c r="A18" s="1"/>
      <c r="B18" s="108" t="s">
        <v>112</v>
      </c>
      <c r="C18" s="106"/>
      <c r="D18" s="106"/>
      <c r="E18" s="106"/>
      <c r="F18" s="107"/>
      <c r="G18" s="26">
        <v>2139470.6231166311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1275729.7581705803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G17*(1-'Fane 15. Nøgletal'!C18)*(1+'Fane 15. Nøgletal'!C10)+G18*(1-'Fane 15. Nøgletal'!C19)*(1+'Fane 15. Nøgletal'!C11)</f>
        <v>73144018.850495741</v>
      </c>
      <c r="H23" s="14" t="s">
        <v>3</v>
      </c>
      <c r="I23" s="1"/>
    </row>
    <row r="24" spans="1:9" x14ac:dyDescent="0.25">
      <c r="A24" s="1"/>
      <c r="B24" s="105" t="s">
        <v>244</v>
      </c>
      <c r="C24" s="106"/>
      <c r="D24" s="106"/>
      <c r="E24" s="106"/>
      <c r="F24" s="107"/>
      <c r="G24" s="26">
        <f>G18*(1-'Fane 15. Nøgletal'!C19)*(1+'Fane 15. Nøgletal'!C11)</f>
        <v>2156699.7158604707</v>
      </c>
      <c r="H24" s="14" t="s">
        <v>3</v>
      </c>
      <c r="I24" s="1"/>
    </row>
    <row r="25" spans="1:9" x14ac:dyDescent="0.25">
      <c r="A25" s="1"/>
      <c r="B25" s="108" t="s">
        <v>116</v>
      </c>
      <c r="C25" s="106"/>
      <c r="D25" s="106"/>
      <c r="E25" s="106"/>
      <c r="F25" s="107"/>
      <c r="G25" s="26">
        <f>('Fane 2.1. Økonomisk ramme 2020'!C13+'Fane 2.1. Økonomisk ramme 2020'!C15+'Fane 2.1. Økonomisk ramme 2020'!C17)*(1+'Fane 15. Nøgletal'!C12)</f>
        <v>1186996.1650928766</v>
      </c>
      <c r="H25" s="14" t="s">
        <v>3</v>
      </c>
      <c r="I25" s="1"/>
    </row>
    <row r="26" spans="1:9" x14ac:dyDescent="0.25">
      <c r="A26" s="1"/>
      <c r="B26" s="102" t="s">
        <v>117</v>
      </c>
      <c r="C26" s="103"/>
      <c r="D26" s="103"/>
      <c r="E26" s="103"/>
      <c r="F26" s="104"/>
      <c r="G26" s="26">
        <f>(G23-G24)*'Fane 15. Nøgletal'!C18+G24*'Fane 15. Nøgletal'!C19+G25*'Fane 15. Nøgletal'!C20</f>
        <v>1308949.5272996682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3" t="s">
        <v>118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102" t="s">
        <v>119</v>
      </c>
      <c r="C30" s="103"/>
      <c r="D30" s="103"/>
      <c r="E30" s="103"/>
      <c r="F30" s="104"/>
      <c r="G30" s="26">
        <f>(G23-G24)*(1-'Fane 15. Nøgletal'!C18)*(1+'Fane 15. Nøgletal'!C10)+G24*(1-'Fane 15. Nøgletal'!C19)*(1+'Fane 15. Nøgletal'!C11)+G25*(1-'Fane 15. Nøgletal'!C20)*(1+'Fane 15. Nøgletal'!C12)</f>
        <v>74301206.100519821</v>
      </c>
      <c r="H30" s="14" t="s">
        <v>3</v>
      </c>
      <c r="I30" s="1"/>
    </row>
    <row r="31" spans="1:9" x14ac:dyDescent="0.25">
      <c r="A31" s="1"/>
      <c r="B31" s="105" t="s">
        <v>245</v>
      </c>
      <c r="C31" s="106"/>
      <c r="D31" s="106"/>
      <c r="E31" s="106"/>
      <c r="F31" s="107"/>
      <c r="G31" s="26">
        <f>G24*(1-'Fane 15. Nøgletal'!C19)*(1+'Fane 15. Nøgletal'!C11)</f>
        <v>2174067.5539713032</v>
      </c>
      <c r="H31" s="14" t="s">
        <v>3</v>
      </c>
      <c r="I31" s="1"/>
    </row>
    <row r="32" spans="1:9" x14ac:dyDescent="0.25">
      <c r="A32" s="1"/>
      <c r="B32" s="105" t="s">
        <v>246</v>
      </c>
      <c r="C32" s="106"/>
      <c r="D32" s="106"/>
      <c r="E32" s="106"/>
      <c r="F32" s="107"/>
      <c r="G32" s="26">
        <f>G25*(1-'Fane 15. Nøgletal'!C20)*(1+'Fane 15. Nøgletal'!C12)</f>
        <v>1176005.1978421228</v>
      </c>
      <c r="H32" s="14" t="s">
        <v>3</v>
      </c>
      <c r="I32" s="1"/>
    </row>
    <row r="33" spans="1:9" x14ac:dyDescent="0.25">
      <c r="A33" s="1"/>
      <c r="B33" s="102" t="s">
        <v>153</v>
      </c>
      <c r="C33" s="103"/>
      <c r="D33" s="103"/>
      <c r="E33" s="103"/>
      <c r="F33" s="104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120</v>
      </c>
      <c r="C34" s="103"/>
      <c r="D34" s="103"/>
      <c r="E34" s="103"/>
      <c r="F34" s="104"/>
      <c r="G34" s="26">
        <f>(G30-SUM(G31:G32))*'Fane 15. Nøgletal'!C18+G31*'Fane 15. Nøgletal'!C19+(G32+G33)*'Fane 15. Nøgletal'!C20</f>
        <v>1308147.9956103698</v>
      </c>
      <c r="H34" s="14" t="s">
        <v>3</v>
      </c>
      <c r="I34" s="1"/>
    </row>
    <row r="35" spans="1:9" x14ac:dyDescent="0.25">
      <c r="A35" s="1"/>
      <c r="B35" s="45"/>
      <c r="C35" s="46"/>
      <c r="D35" s="46"/>
      <c r="E35" s="46"/>
      <c r="F35" s="46"/>
      <c r="G35" s="46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129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102" t="s">
        <v>124</v>
      </c>
      <c r="C38" s="103"/>
      <c r="D38" s="103"/>
      <c r="E38" s="103"/>
      <c r="F38" s="104"/>
      <c r="G38" s="26">
        <f>(SUM(G30,G33)-G34)*(1+'Fane 15. Nøgletal'!C12)</f>
        <v>74431021.349576175</v>
      </c>
      <c r="H38" s="14" t="s">
        <v>3</v>
      </c>
      <c r="I38" s="1"/>
    </row>
    <row r="39" spans="1:9" x14ac:dyDescent="0.25">
      <c r="A39" s="1"/>
      <c r="B39" s="102" t="s">
        <v>154</v>
      </c>
      <c r="C39" s="103"/>
      <c r="D39" s="103"/>
      <c r="E39" s="103"/>
      <c r="F39" s="104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121</v>
      </c>
      <c r="C40" s="103"/>
      <c r="D40" s="103"/>
      <c r="E40" s="103"/>
      <c r="F40" s="104"/>
      <c r="G40" s="26">
        <f>(G38+G39)*'Fane 15. Nøgletal'!C20</f>
        <v>2113841.0063279634</v>
      </c>
      <c r="H40" s="14" t="s">
        <v>3</v>
      </c>
      <c r="I40" s="1"/>
    </row>
    <row r="41" spans="1:9" x14ac:dyDescent="0.25">
      <c r="A41" s="1"/>
      <c r="B41" s="45"/>
      <c r="C41" s="46"/>
      <c r="D41" s="46"/>
      <c r="E41" s="46"/>
      <c r="F41" s="46"/>
      <c r="G41" s="46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130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102" t="s">
        <v>123</v>
      </c>
      <c r="C44" s="103"/>
      <c r="D44" s="103"/>
      <c r="E44" s="103"/>
      <c r="F44" s="104"/>
      <c r="G44" s="26">
        <f>(G38+G39-G40)*(1+'Fane 15. Nøgletal'!C12)</f>
        <v>73741828.796010211</v>
      </c>
      <c r="H44" s="14" t="s">
        <v>3</v>
      </c>
      <c r="I44" s="1"/>
    </row>
    <row r="45" spans="1:9" x14ac:dyDescent="0.25">
      <c r="A45" s="1"/>
      <c r="B45" s="102" t="s">
        <v>155</v>
      </c>
      <c r="C45" s="103"/>
      <c r="D45" s="103"/>
      <c r="E45" s="103"/>
      <c r="F45" s="104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122</v>
      </c>
      <c r="C46" s="103"/>
      <c r="D46" s="103"/>
      <c r="E46" s="103"/>
      <c r="F46" s="104"/>
      <c r="G46" s="26">
        <f>(G44+G45)*'Fane 15. Nøgletal'!C20</f>
        <v>2094267.9378066901</v>
      </c>
      <c r="H46" s="14" t="s">
        <v>3</v>
      </c>
      <c r="I46" s="1"/>
    </row>
    <row r="47" spans="1:9" x14ac:dyDescent="0.25">
      <c r="A47" s="1"/>
      <c r="B47" s="45"/>
      <c r="C47" s="46"/>
      <c r="D47" s="46"/>
      <c r="E47" s="46"/>
      <c r="F47" s="46"/>
      <c r="G47" s="46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vLfY8AmgO9GasBBXBUCHefcdbXKtPA9DvXRGL88Teqwed1QYxF18i+7XssKCjaMiI13powu3X8mHHH0tHc0HA==" saltValue="PYfi6qwMlEXPAZtmaYClHA==" spinCount="100000" sheet="1" objects="1" scenarios="1"/>
  <mergeCells count="32"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 t="s">
        <v>266</v>
      </c>
      <c r="H9" s="14"/>
      <c r="I9" s="1"/>
    </row>
    <row r="10" spans="1:9" x14ac:dyDescent="0.25">
      <c r="A10" s="1"/>
      <c r="B10" s="102" t="s">
        <v>202</v>
      </c>
      <c r="C10" s="103"/>
      <c r="D10" s="103"/>
      <c r="E10" s="103"/>
      <c r="F10" s="104"/>
      <c r="G10" s="25">
        <v>1.1758896582586805E-3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2"/>
      <c r="I11" s="1"/>
    </row>
    <row r="12" spans="1:9" ht="40.5" customHeight="1" x14ac:dyDescent="0.25">
      <c r="A12" s="1"/>
      <c r="B12" s="75" t="s">
        <v>211</v>
      </c>
      <c r="C12" s="76"/>
      <c r="D12" s="76"/>
      <c r="E12" s="76"/>
      <c r="F12" s="76"/>
      <c r="G12" s="76"/>
      <c r="H12" s="77"/>
      <c r="I12" s="1"/>
    </row>
    <row r="13" spans="1:9" ht="30.75" customHeight="1" x14ac:dyDescent="0.25">
      <c r="A13" s="20"/>
      <c r="B13" s="110"/>
      <c r="C13" s="110"/>
      <c r="D13" s="110"/>
      <c r="E13" s="110"/>
      <c r="F13" s="110"/>
      <c r="G13" s="110"/>
      <c r="H13" s="110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hgz/kiZyBCvc6ahAYIY85+sRYjkoVZ0z7P/m93JVnX77RP3fnRMzFXHMz5h/MRB2oj3a+RFDNTPybl+f5ohUYA==" saltValue="NLjTz6HD4qiFIjHm4Ds5r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2019-09-11T10:58:49Z</dcterms:modified>
</cp:coreProperties>
</file>