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ilkeborg Spildevand AS (S08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C12" i="37" l="1"/>
  <c r="E12" i="37"/>
  <c r="E20" i="11" l="1"/>
  <c r="E19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18" i="11"/>
  <c r="E1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16" i="11"/>
  <c r="E15" i="11"/>
  <c r="E14" i="11"/>
  <c r="E13" i="11"/>
  <c r="E12" i="11"/>
  <c r="E11" i="11"/>
  <c r="E19" i="40" l="1"/>
  <c r="E16" i="40" l="1"/>
  <c r="E12" i="40"/>
  <c r="E10" i="11" l="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22" i="39" l="1"/>
  <c r="C26" i="15" s="1"/>
  <c r="C38" i="39"/>
  <c r="C21" i="23" s="1"/>
  <c r="E22" i="39"/>
  <c r="C27" i="15" s="1"/>
  <c r="E30" i="39"/>
  <c r="C22" i="22" s="1"/>
  <c r="C23" i="22" s="1"/>
  <c r="E38" i="39"/>
  <c r="C22" i="23" s="1"/>
  <c r="E14" i="39"/>
  <c r="C29" i="2" s="1"/>
  <c r="C14" i="39"/>
  <c r="C28" i="2" s="1"/>
  <c r="G12" i="10"/>
  <c r="G14" i="10" s="1"/>
  <c r="C23" i="23" l="1"/>
  <c r="C28" i="15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57" i="11" l="1"/>
  <c r="C10" i="37" s="1"/>
  <c r="C13" i="37" s="1"/>
  <c r="C12" i="2" s="1"/>
  <c r="G57" i="11"/>
  <c r="E11" i="21" l="1"/>
  <c r="C11" i="21"/>
  <c r="E11" i="29"/>
  <c r="C11" i="29"/>
  <c r="C14" i="19"/>
  <c r="C15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57" i="11" l="1"/>
  <c r="E10" i="37" s="1"/>
  <c r="E13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<sst xmlns="http://schemas.openxmlformats.org/spreadsheetml/2006/main" count="785" uniqueCount="291">
  <si>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</si>
  <si>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</si>
  <si>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</si>
  <si>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</si>
  <si>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</si>
  <si>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</si>
  <si>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</si>
  <si>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</si>
  <si>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</si>
  <si>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</si>
  <si>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</si>
  <si>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</si>
  <si>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</si>
  <si>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</si>
  <si>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</si>
  <si>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</si>
  <si>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</si>
  <si>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</si>
  <si>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</si>
  <si>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</si>
  <si>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</si>
  <si>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</si>
  <si>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</si>
  <si>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</si>
  <si>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</si>
  <si>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</si>
  <si>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</si>
  <si>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</si>
  <si>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</si>
  <si>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</si>
  <si>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</si>
  <si>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</si>
  <si>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</si>
  <si>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</si>
  <si>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</si>
  <si>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</si>
  <si>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</si>
  <si>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</si>
  <si>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</si>
  <si>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</si>
  <si>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</si>
  <si>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</si>
  <si>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</si>
  <si>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</si>
  <si>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</si>
  <si>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</si>
  <si>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</si>
  <si>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</si>
  <si>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</si>
  <si>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</si>
  <si>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</si>
  <si>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</si>
  <si>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</si>
  <si>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</si>
  <si>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</si>
  <si>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</si>
  <si>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</si>
  <si>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</si>
  <si>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</si>
  <si>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</si>
  <si>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</si>
  <si>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</si>
  <si>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</si>
  <si>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</si>
  <si>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</si>
  <si>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</si>
  <si>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</si>
  <si>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</si>
  <si>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</si>
  <si>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</si>
  <si>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</si>
  <si>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</si>
  <si>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</si>
  <si>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</si>
  <si>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</si>
  <si>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</si>
  <si>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</si>
  <si>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</si>
  <si>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</si>
  <si>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</si>
  <si>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</si>
  <si>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</si>
  <si>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</si>
  <si>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</si>
  <si>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</si>
  <si>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</si>
  <si>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</si>
  <si>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</si>
  <si>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</si>
  <si>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</si>
  <si>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</si>
  <si>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</si>
  <si>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</si>
  <si>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</si>
  <si>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</si>
  <si>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</si>
  <si>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</si>
  <si>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</si>
  <si>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</si>
  <si>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</si>
  <si>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</si>
  <si>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</si>
  <si>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</si>
  <si>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</si>
  <si>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</si>
  <si>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</si>
  <si>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</si>
  <si>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</si>
  <si>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</si>
  <si>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</si>
  <si>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</si>
  <si>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</si>
  <si>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</si>
  <si>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</si>
  <si>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</si>
  <si>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</si>
  <si>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</si>
  <si>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</si>
  <si>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</si>
  <si>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</si>
  <si>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</si>
  <si>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</si>
  <si>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</si>
  <si>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</si>
  <si>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</si>
  <si>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</si>
  <si>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</si>
  <si>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</si>
  <si>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</si>
  <si>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</si>
  <si>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</si>
  <si>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</si>
  <si>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</si>
  <si>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</si>
  <si>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</si>
  <si>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</si>
  <si>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</si>
  <si>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</si>
  <si>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</si>
  <si>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</si>
  <si>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</si>
  <si>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</si>
  <si>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</si>
  <si>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</si>
  <si>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</si>
  <si>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</si>
  <si>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</si>
  <si>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</si>
  <si>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</si>
  <si>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</si>
  <si>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</si>
  <si>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</si>
  <si>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</si>
  <si>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</si>
  <si>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</si>
  <si>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</si>
  <si>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</si>
  <si>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</si>
  <si>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</si>
  <si>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</si>
  <si>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</si>
  <si>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</si>
  <si>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</si>
  <si>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</si>
  <si>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</si>
  <si>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</si>
  <si>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</si>
  <si>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</si>
  <si>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</si>
  <si>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</si>
  <si>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</si>
  <si>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</si>
  <si>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</si>
  <si>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</si>
  <si>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</si>
  <si>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</si>
  <si>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</si>
  <si>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</si>
  <si>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</si>
  <si>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</si>
  <si>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</si>
  <si>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</si>
  <si>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</si>
  <si>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</si>
  <si>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</si>
  <si>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</si>
  <si>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</si>
  <si>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</si>
  <si>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</si>
  <si>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</si>
  <si>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</si>
  <si>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</si>
  <si>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</si>
  <si>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</si>
  <si>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</si>
  <si>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</si>
  <si>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</si>
  <si>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</si>
  <si>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</si>
  <si>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</si>
  <si>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</si>
  <si>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</si>
  <si>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</si>
  <si>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</si>
  <si>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</si>
  <si>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</si>
  <si>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</si>
  <si>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</si>
  <si>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</si>
  <si>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</si>
  <si>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</si>
  <si>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</si>
  <si>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</si>
  <si>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</si>
  <si>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</si>
  <si>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</si>
  <si>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</si>
  <si>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</si>
  <si>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</si>
  <si>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</si>
  <si>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</si>
  <si>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</si>
  <si>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</si>
  <si>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</si>
  <si>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</si>
  <si>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</si>
  <si>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</si>
  <si>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</si>
  <si>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</si>
  <si>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</si>
  <si>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</si>
  <si>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</si>
  <si>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</si>
  <si>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</si>
  <si>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</si>
  <si>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</si>
  <si>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</si>
  <si>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</si>
  <si>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</si>
  <si>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</si>
  <si>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</si>
  <si>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</si>
  <si>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</si>
  <si>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</si>
  <si>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</si>
  <si>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</si>
  <si>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</si>
  <si>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</si>
  <si>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</si>
  <si>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</si>
  <si>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</si>
  <si>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</si>
  <si>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</si>
  <si>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</si>
  <si>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</si>
  <si>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</si>
  <si>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</si>
  <si>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</si>
  <si>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</si>
  <si>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</si>
  <si>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</si>
  <si>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</si>
  <si>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</si>
  <si>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</si>
  <si>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</si>
  <si>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</si>
  <si>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</si>
  <si>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</si>
  <si>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</si>
  <si>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Ejendomsskatter</t>
  </si>
  <si>
    <t>Tjenestemandspensioner</t>
  </si>
  <si>
    <t>Ingen engangstillæg</t>
  </si>
  <si>
    <t>Ledningsnet ≤ Ø 200 mm</t>
  </si>
  <si>
    <t>Ø 200 mm &lt; Ledningsnet ≤ Ø 500 mm</t>
  </si>
  <si>
    <t>Ø 1200 mm &lt; Ledningsnet ≤ Ø 1600 mm</t>
  </si>
  <si>
    <t>Brønde</t>
  </si>
  <si>
    <t>Stik</t>
  </si>
  <si>
    <t>Jordbassin Klasse B</t>
  </si>
  <si>
    <t>Ø 500 mm &lt; Ledningsnet ≤ Ø 800 mm</t>
  </si>
  <si>
    <t>Kælder</t>
  </si>
  <si>
    <t>Indløb med riste, Mek/EL</t>
  </si>
  <si>
    <t>Indløb med riste, SRO</t>
  </si>
  <si>
    <t>Ø 800 mm &lt; Ledningsnet ≤ Ø 1000 mm</t>
  </si>
  <si>
    <t>Strømpeforing ≤ Ø 200 mm</t>
  </si>
  <si>
    <t>Strømpeforing Ø 200 mm &lt; Ledningsnet ≤ Ø 500 mm</t>
  </si>
  <si>
    <t>Pumpestationer i brønde (&lt; 6,25 m2), Mek/EL</t>
  </si>
  <si>
    <t>Pumpestationer i brønde (&lt; 6,25 m2), SRO</t>
  </si>
  <si>
    <t>Ø 1000 mm &lt; Ledningsnet ≤ Ø 1200 mm</t>
  </si>
  <si>
    <t>Indløb-/udløbsarrangement</t>
  </si>
  <si>
    <t>Anlægsprojekter igangsat senest 1. marts 2016</t>
  </si>
  <si>
    <t>Byggemodninger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</si>
</sst>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214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52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23</v>
      </c>
      <c r="D14" s="67" t="s">
        <v>54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51</v>
      </c>
      <c r="D15" s="67" t="s">
        <v>133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53</v>
      </c>
      <c r="D16" s="67" t="s">
        <v>134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255</v>
      </c>
      <c r="D17" s="67" t="s">
        <v>63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221</v>
      </c>
      <c r="D18" s="70" t="s">
        <v>176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222</v>
      </c>
      <c r="D19" s="70" t="s">
        <v>177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223</v>
      </c>
      <c r="D21" s="55" t="s">
        <v>17</v>
      </c>
      <c r="E21" s="56"/>
      <c r="F21" s="56"/>
      <c r="G21" s="57"/>
      <c r="H21" s="1"/>
      <c r="I21" s="1"/>
    </row>
    <row r="22" spans="1:9" x14ac:dyDescent="0.25">
      <c r="A22" s="1"/>
      <c r="B22" s="1"/>
      <c r="C22" s="6" t="s">
        <v>140</v>
      </c>
      <c r="D22" s="58" t="s">
        <v>173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258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224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225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226</v>
      </c>
      <c r="D27" s="58" t="s">
        <v>143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1" t="s">
        <v>11</v>
      </c>
      <c r="E30" s="62"/>
      <c r="F30" s="62"/>
      <c r="G30" s="63"/>
      <c r="H30" s="1"/>
      <c r="I30" s="1"/>
    </row>
    <row r="31" spans="1:9" x14ac:dyDescent="0.25">
      <c r="A31" s="1"/>
      <c r="B31" s="1"/>
      <c r="C31" s="6" t="s">
        <v>172</v>
      </c>
      <c r="D31" s="52" t="s">
        <v>207</v>
      </c>
      <c r="E31" s="53"/>
      <c r="F31" s="53"/>
      <c r="G31" s="5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KLsexJND1daJ4QP9y6AD9fBY/10EytnGY2RwT4mAtFNREqPHt4DjP7dVehU/Gvm6KSOlVUhXzFXzHSojltYgfA==" saltValue="5u3cvKIeTq8dKOEe1pAJAw==" spinCount="100000" sheet="1" objects="1" scenarios="1"/>
  <mergeCells count="22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66</v>
      </c>
      <c r="C8" s="76"/>
      <c r="D8" s="77"/>
      <c r="E8" s="1"/>
      <c r="F8" s="1"/>
    </row>
    <row r="9" spans="1:6" ht="15" customHeight="1" x14ac:dyDescent="0.25">
      <c r="A9" s="1"/>
      <c r="B9" s="46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267</v>
      </c>
      <c r="C10" s="9">
        <v>963000</v>
      </c>
      <c r="D10" s="14" t="s">
        <v>3</v>
      </c>
      <c r="E10" s="1"/>
      <c r="F10" s="1"/>
    </row>
    <row r="11" spans="1:6" x14ac:dyDescent="0.25">
      <c r="A11" s="1"/>
      <c r="B11" s="47" t="s">
        <v>268</v>
      </c>
      <c r="C11" s="9">
        <v>70000</v>
      </c>
      <c r="D11" s="14" t="s">
        <v>3</v>
      </c>
      <c r="E11" s="1"/>
      <c r="F11" s="1"/>
    </row>
    <row r="12" spans="1:6" x14ac:dyDescent="0.25">
      <c r="A12" s="1"/>
      <c r="B12" s="47" t="s">
        <v>269</v>
      </c>
      <c r="C12" s="9">
        <v>1047000</v>
      </c>
      <c r="D12" s="14" t="s">
        <v>3</v>
      </c>
      <c r="E12" s="1"/>
      <c r="F12" s="1"/>
    </row>
    <row r="13" spans="1:6" x14ac:dyDescent="0.25">
      <c r="A13" s="1"/>
      <c r="B13" s="47" t="s">
        <v>270</v>
      </c>
      <c r="C13" s="9">
        <v>310000</v>
      </c>
      <c r="D13" s="14" t="s">
        <v>3</v>
      </c>
      <c r="E13" s="1"/>
      <c r="F13" s="1"/>
    </row>
    <row r="14" spans="1:6" x14ac:dyDescent="0.25">
      <c r="A14" s="1"/>
      <c r="B14" s="43" t="s">
        <v>68</v>
      </c>
      <c r="C14" s="12">
        <f>SUM(C10:C13)</f>
        <v>2390000</v>
      </c>
      <c r="D14" s="13" t="s">
        <v>3</v>
      </c>
      <c r="E14" s="1"/>
      <c r="F14" s="1"/>
    </row>
    <row r="15" spans="1:6" x14ac:dyDescent="0.25">
      <c r="A15" s="1"/>
      <c r="B15" s="43" t="s">
        <v>69</v>
      </c>
      <c r="C15" s="12">
        <f>C14*(1+'Fane 15. Nøgletal'!C12)^2</f>
        <v>2485093.5351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75" t="s">
        <v>244</v>
      </c>
      <c r="C18" s="76"/>
      <c r="D18" s="77"/>
      <c r="E18" s="1"/>
      <c r="F18" s="1"/>
    </row>
    <row r="19" spans="1:6" x14ac:dyDescent="0.25">
      <c r="A19" s="1"/>
      <c r="B19" s="47" t="s">
        <v>193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7" t="s">
        <v>194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7" t="s">
        <v>195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7" t="s">
        <v>196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75"/>
      <c r="C23" s="76"/>
      <c r="D23" s="7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75" t="s">
        <v>192</v>
      </c>
      <c r="C26" s="76"/>
      <c r="D26" s="77"/>
      <c r="E26" s="1"/>
      <c r="F26" s="1"/>
    </row>
    <row r="27" spans="1:6" x14ac:dyDescent="0.25">
      <c r="A27" s="1"/>
      <c r="B27" s="47" t="s">
        <v>193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7" t="s">
        <v>194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195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196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75"/>
      <c r="C31" s="76"/>
      <c r="D31" s="7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tFWF2bR819q9zCqdDL4dCKp1b2CwOyBFHJgdOt6yybui60FPmnTOl8CIpaNKSA27hnZxwYOU9pdmdCg3B6Ie+w==" saltValue="GxpeyHHPU/Qmz5xw25wpW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232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179</v>
      </c>
      <c r="C8" s="76"/>
      <c r="D8" s="76"/>
      <c r="E8" s="76"/>
      <c r="F8" s="77"/>
      <c r="G8" s="1"/>
    </row>
    <row r="9" spans="1:7" x14ac:dyDescent="0.25">
      <c r="A9" s="1"/>
      <c r="B9" s="102" t="s">
        <v>180</v>
      </c>
      <c r="C9" s="103"/>
      <c r="D9" s="104"/>
      <c r="E9" s="9">
        <v>134076625.61302905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133993000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81" t="s">
        <v>182</v>
      </c>
      <c r="C12" s="82"/>
      <c r="D12" s="83"/>
      <c r="E12" s="10">
        <f>E9-(E10-E11)</f>
        <v>83625.613029047847</v>
      </c>
      <c r="F12" s="17" t="s">
        <v>3</v>
      </c>
      <c r="G12" s="1"/>
    </row>
    <row r="13" spans="1:7" x14ac:dyDescent="0.25">
      <c r="A13" s="1"/>
      <c r="B13" s="43"/>
      <c r="C13" s="44"/>
      <c r="D13" s="44"/>
      <c r="E13" s="44"/>
      <c r="F13" s="22"/>
      <c r="G13" s="1"/>
    </row>
    <row r="14" spans="1:7" ht="27.75" customHeight="1" x14ac:dyDescent="0.25">
      <c r="A14" s="1"/>
      <c r="B14" s="78" t="s">
        <v>209</v>
      </c>
      <c r="C14" s="79"/>
      <c r="D14" s="79"/>
      <c r="E14" s="79"/>
      <c r="F14" s="80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75" t="s">
        <v>74</v>
      </c>
      <c r="C17" s="76"/>
      <c r="D17" s="76"/>
      <c r="E17" s="76"/>
      <c r="F17" s="77"/>
      <c r="G17" s="1"/>
    </row>
    <row r="18" spans="1:7" x14ac:dyDescent="0.25">
      <c r="A18" s="1"/>
      <c r="B18" s="102" t="s">
        <v>75</v>
      </c>
      <c r="C18" s="103"/>
      <c r="D18" s="104"/>
      <c r="E18" s="9">
        <v>140195046.35091147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135969000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81" t="s">
        <v>77</v>
      </c>
      <c r="C21" s="82"/>
      <c r="D21" s="83"/>
      <c r="E21" s="10">
        <f>E18-(E19-E20)</f>
        <v>4226046.3509114683</v>
      </c>
      <c r="F21" s="17" t="s">
        <v>3</v>
      </c>
      <c r="G21" s="1"/>
    </row>
    <row r="22" spans="1:7" x14ac:dyDescent="0.25">
      <c r="A22" s="1"/>
      <c r="B22" s="43"/>
      <c r="C22" s="44"/>
      <c r="D22" s="44"/>
      <c r="E22" s="4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75" t="s">
        <v>201</v>
      </c>
      <c r="C25" s="76"/>
      <c r="D25" s="76"/>
      <c r="E25" s="76"/>
      <c r="F25" s="77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81" t="s">
        <v>210</v>
      </c>
      <c r="C28" s="82"/>
      <c r="D28" s="83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5L7pJhTzWl8kUP6MHeqn/QLDsydVFCrZRqFoKcLaALjtixdf9PPQXMKzC6Hz3OhpgdI0SuVi55u0FxxXiGVyXg==" saltValue="tTVoRdouX6cqoI1Yo9UGPw==" spinCount="100000" sheet="1" objects="1" scenarios="1"/>
  <mergeCells count="17">
    <mergeCell ref="B25:F25"/>
    <mergeCell ref="B26:D26"/>
    <mergeCell ref="B27:D27"/>
    <mergeCell ref="B28:D28"/>
    <mergeCell ref="B29:F29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260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75" t="s">
        <v>174</v>
      </c>
      <c r="C9" s="76"/>
      <c r="D9" s="76"/>
      <c r="E9" s="76"/>
      <c r="F9" s="76"/>
      <c r="G9" s="1"/>
    </row>
    <row r="10" spans="1:7" x14ac:dyDescent="0.25">
      <c r="A10" s="1"/>
      <c r="B10" s="78" t="s">
        <v>197</v>
      </c>
      <c r="C10" s="79"/>
      <c r="D10" s="80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81" t="s">
        <v>199</v>
      </c>
      <c r="C12" s="82"/>
      <c r="D12" s="83"/>
      <c r="E12" s="10">
        <f>E11-E10</f>
        <v>0</v>
      </c>
      <c r="F12" s="11" t="s">
        <v>3</v>
      </c>
      <c r="G12" s="1"/>
    </row>
    <row r="13" spans="1:7" x14ac:dyDescent="0.25">
      <c r="A13" s="1"/>
      <c r="B13" s="75" t="s">
        <v>175</v>
      </c>
      <c r="C13" s="76"/>
      <c r="D13" s="76"/>
      <c r="E13" s="76"/>
      <c r="F13" s="76"/>
      <c r="G13" s="1"/>
    </row>
    <row r="14" spans="1:7" x14ac:dyDescent="0.25">
      <c r="A14" s="1"/>
      <c r="B14" s="102" t="s">
        <v>218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78" t="s">
        <v>219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81" t="s">
        <v>199</v>
      </c>
      <c r="C16" s="82"/>
      <c r="D16" s="83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75" t="s">
        <v>170</v>
      </c>
      <c r="C17" s="76"/>
      <c r="D17" s="76"/>
      <c r="E17" s="76"/>
      <c r="F17" s="76"/>
      <c r="G17" s="1"/>
    </row>
    <row r="18" spans="1:7" ht="28.15" customHeight="1" x14ac:dyDescent="0.25">
      <c r="A18" s="1"/>
      <c r="B18" s="78" t="s">
        <v>266</v>
      </c>
      <c r="C18" s="79"/>
      <c r="D18" s="80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178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3" t="s">
        <v>190</v>
      </c>
      <c r="C20" s="44"/>
      <c r="D20" s="4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ZMVih8sdHL1MlKk1IyyVgXBkgxY5pfyPRCCpUkAK9c/exiJa72RhH/VkIqmcbzw7j/+I6wg199V3Z8M9xVz8Q==" saltValue="Cz13N8vk7PiAHz4wxi1Zs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262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0" t="s">
        <v>272</v>
      </c>
      <c r="C10" s="126">
        <v>75</v>
      </c>
      <c r="D10" s="9">
        <v>103000</v>
      </c>
      <c r="E10" s="9">
        <f>IFERROR(D10/C10,0)</f>
        <v>1373.3333333333333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0" t="s">
        <v>273</v>
      </c>
      <c r="C11" s="126">
        <v>75</v>
      </c>
      <c r="D11" s="9">
        <v>28000</v>
      </c>
      <c r="E11" s="9">
        <f t="shared" ref="E11:E56" si="0">IFERROR(D11/C11,0)</f>
        <v>373.33333333333331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0" t="s">
        <v>274</v>
      </c>
      <c r="C12" s="126">
        <v>75</v>
      </c>
      <c r="D12" s="9">
        <v>22000</v>
      </c>
      <c r="E12" s="9">
        <f t="shared" si="0"/>
        <v>293.33333333333331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0" t="s">
        <v>275</v>
      </c>
      <c r="C13" s="126">
        <v>75</v>
      </c>
      <c r="D13" s="9">
        <v>63000</v>
      </c>
      <c r="E13" s="9">
        <f t="shared" si="0"/>
        <v>840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0" t="s">
        <v>276</v>
      </c>
      <c r="C14" s="126">
        <v>75</v>
      </c>
      <c r="D14" s="9">
        <v>4000</v>
      </c>
      <c r="E14" s="9">
        <f t="shared" si="0"/>
        <v>53.333333333333336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0" t="s">
        <v>277</v>
      </c>
      <c r="C15" s="126">
        <v>50</v>
      </c>
      <c r="D15" s="9">
        <v>25000</v>
      </c>
      <c r="E15" s="9">
        <f t="shared" si="0"/>
        <v>500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0" t="s">
        <v>272</v>
      </c>
      <c r="C16" s="126">
        <v>75</v>
      </c>
      <c r="D16" s="9">
        <v>141000</v>
      </c>
      <c r="E16" s="9">
        <f t="shared" si="0"/>
        <v>1880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0" t="s">
        <v>273</v>
      </c>
      <c r="C17" s="126">
        <v>75</v>
      </c>
      <c r="D17" s="9">
        <v>13000</v>
      </c>
      <c r="E17" s="9">
        <f t="shared" ref="E17:E32" si="1">IFERROR(D17/C17,0)</f>
        <v>173.33333333333334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0" t="s">
        <v>278</v>
      </c>
      <c r="C18" s="126">
        <v>75</v>
      </c>
      <c r="D18" s="9">
        <v>1000</v>
      </c>
      <c r="E18" s="9">
        <f t="shared" si="1"/>
        <v>13.333333333333334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0" t="s">
        <v>274</v>
      </c>
      <c r="C19" s="126">
        <v>75</v>
      </c>
      <c r="D19" s="9">
        <v>37000</v>
      </c>
      <c r="E19" s="9">
        <f t="shared" ref="E19:E20" si="2">IFERROR(D19/C19,0)</f>
        <v>493.33333333333331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0" t="s">
        <v>275</v>
      </c>
      <c r="C20" s="126">
        <v>75</v>
      </c>
      <c r="D20" s="9">
        <v>3000</v>
      </c>
      <c r="E20" s="9">
        <f t="shared" si="2"/>
        <v>40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0" t="s">
        <v>279</v>
      </c>
      <c r="C21" s="126">
        <v>75</v>
      </c>
      <c r="D21" s="9">
        <v>79000</v>
      </c>
      <c r="E21" s="9">
        <f t="shared" si="1"/>
        <v>1053.3333333333333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0" t="s">
        <v>280</v>
      </c>
      <c r="C22" s="126">
        <v>20</v>
      </c>
      <c r="D22" s="9">
        <v>87000</v>
      </c>
      <c r="E22" s="9">
        <f t="shared" si="1"/>
        <v>4350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0" t="s">
        <v>281</v>
      </c>
      <c r="C23" s="126">
        <v>10</v>
      </c>
      <c r="D23" s="9">
        <v>22000</v>
      </c>
      <c r="E23" s="9">
        <f t="shared" si="1"/>
        <v>2200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0" t="s">
        <v>272</v>
      </c>
      <c r="C24" s="126">
        <v>75</v>
      </c>
      <c r="D24" s="9">
        <v>1299000</v>
      </c>
      <c r="E24" s="9">
        <f t="shared" si="1"/>
        <v>17320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0" t="s">
        <v>273</v>
      </c>
      <c r="C25" s="126">
        <v>75</v>
      </c>
      <c r="D25" s="9">
        <v>1600000</v>
      </c>
      <c r="E25" s="9">
        <f t="shared" si="1"/>
        <v>21333.333333333332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0" t="s">
        <v>275</v>
      </c>
      <c r="C26" s="126">
        <v>75</v>
      </c>
      <c r="D26" s="9">
        <v>1972000</v>
      </c>
      <c r="E26" s="9">
        <f t="shared" si="1"/>
        <v>26293.333333333332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50" t="s">
        <v>276</v>
      </c>
      <c r="C27" s="126">
        <v>75</v>
      </c>
      <c r="D27" s="9">
        <v>608000</v>
      </c>
      <c r="E27" s="9">
        <f t="shared" si="1"/>
        <v>8106.666666666667</v>
      </c>
      <c r="F27" s="9">
        <v>0</v>
      </c>
      <c r="G27" s="9">
        <v>0</v>
      </c>
      <c r="H27" s="14" t="s">
        <v>3</v>
      </c>
      <c r="I27" s="1"/>
    </row>
    <row r="28" spans="1:9" x14ac:dyDescent="0.25">
      <c r="A28" s="1"/>
      <c r="B28" s="50" t="s">
        <v>272</v>
      </c>
      <c r="C28" s="126">
        <v>75</v>
      </c>
      <c r="D28" s="9">
        <v>16000</v>
      </c>
      <c r="E28" s="9">
        <f t="shared" si="1"/>
        <v>213.33333333333334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0" t="s">
        <v>273</v>
      </c>
      <c r="C29" s="126">
        <v>75</v>
      </c>
      <c r="D29" s="9">
        <v>330000</v>
      </c>
      <c r="E29" s="9">
        <f t="shared" si="1"/>
        <v>4400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50" t="s">
        <v>278</v>
      </c>
      <c r="C30" s="126">
        <v>75</v>
      </c>
      <c r="D30" s="9">
        <v>123000</v>
      </c>
      <c r="E30" s="9">
        <f t="shared" si="1"/>
        <v>1640</v>
      </c>
      <c r="F30" s="9">
        <v>0</v>
      </c>
      <c r="G30" s="9">
        <v>0</v>
      </c>
      <c r="H30" s="14" t="s">
        <v>3</v>
      </c>
      <c r="I30" s="1"/>
    </row>
    <row r="31" spans="1:9" ht="26.25" x14ac:dyDescent="0.25">
      <c r="A31" s="1"/>
      <c r="B31" s="50" t="s">
        <v>282</v>
      </c>
      <c r="C31" s="126">
        <v>75</v>
      </c>
      <c r="D31" s="9">
        <v>30000</v>
      </c>
      <c r="E31" s="9">
        <f t="shared" si="1"/>
        <v>400</v>
      </c>
      <c r="F31" s="9">
        <v>0</v>
      </c>
      <c r="G31" s="9">
        <v>0</v>
      </c>
      <c r="H31" s="14" t="s">
        <v>3</v>
      </c>
      <c r="I31" s="1"/>
    </row>
    <row r="32" spans="1:9" ht="26.25" x14ac:dyDescent="0.25">
      <c r="A32" s="1"/>
      <c r="B32" s="50" t="s">
        <v>274</v>
      </c>
      <c r="C32" s="126">
        <v>75</v>
      </c>
      <c r="D32" s="9">
        <v>349000</v>
      </c>
      <c r="E32" s="9">
        <f t="shared" si="1"/>
        <v>4653.333333333333</v>
      </c>
      <c r="F32" s="9">
        <v>0</v>
      </c>
      <c r="G32" s="9">
        <v>0</v>
      </c>
      <c r="H32" s="14" t="s">
        <v>3</v>
      </c>
      <c r="I32" s="1"/>
    </row>
    <row r="33" spans="1:9" x14ac:dyDescent="0.25">
      <c r="A33" s="1"/>
      <c r="B33" s="50" t="s">
        <v>283</v>
      </c>
      <c r="C33" s="126">
        <v>50</v>
      </c>
      <c r="D33" s="9">
        <v>7000</v>
      </c>
      <c r="E33" s="9">
        <f t="shared" si="0"/>
        <v>140</v>
      </c>
      <c r="F33" s="9">
        <v>0</v>
      </c>
      <c r="G33" s="9">
        <v>0</v>
      </c>
      <c r="H33" s="14" t="s">
        <v>3</v>
      </c>
      <c r="I33" s="1"/>
    </row>
    <row r="34" spans="1:9" ht="26.25" x14ac:dyDescent="0.25">
      <c r="A34" s="1"/>
      <c r="B34" s="50" t="s">
        <v>284</v>
      </c>
      <c r="C34" s="126">
        <v>50</v>
      </c>
      <c r="D34" s="9">
        <v>4000</v>
      </c>
      <c r="E34" s="9">
        <f t="shared" si="0"/>
        <v>80</v>
      </c>
      <c r="F34" s="9">
        <v>0</v>
      </c>
      <c r="G34" s="9">
        <v>0</v>
      </c>
      <c r="H34" s="14" t="s">
        <v>3</v>
      </c>
      <c r="I34" s="1"/>
    </row>
    <row r="35" spans="1:9" x14ac:dyDescent="0.25">
      <c r="A35" s="1"/>
      <c r="B35" s="50" t="s">
        <v>275</v>
      </c>
      <c r="C35" s="126">
        <v>75</v>
      </c>
      <c r="D35" s="9">
        <v>1012000</v>
      </c>
      <c r="E35" s="9">
        <f t="shared" si="0"/>
        <v>13493.333333333334</v>
      </c>
      <c r="F35" s="9">
        <v>0</v>
      </c>
      <c r="G35" s="9">
        <v>0</v>
      </c>
      <c r="H35" s="14" t="s">
        <v>3</v>
      </c>
      <c r="I35" s="1"/>
    </row>
    <row r="36" spans="1:9" x14ac:dyDescent="0.25">
      <c r="A36" s="1"/>
      <c r="B36" s="50" t="s">
        <v>276</v>
      </c>
      <c r="C36" s="126">
        <v>75</v>
      </c>
      <c r="D36" s="9">
        <v>115000</v>
      </c>
      <c r="E36" s="9">
        <f t="shared" si="0"/>
        <v>1533.3333333333333</v>
      </c>
      <c r="F36" s="9">
        <v>0</v>
      </c>
      <c r="G36" s="9">
        <v>0</v>
      </c>
      <c r="H36" s="14" t="s">
        <v>3</v>
      </c>
      <c r="I36" s="1"/>
    </row>
    <row r="37" spans="1:9" x14ac:dyDescent="0.25">
      <c r="A37" s="1"/>
      <c r="B37" s="50" t="s">
        <v>277</v>
      </c>
      <c r="C37" s="126">
        <v>50</v>
      </c>
      <c r="D37" s="9">
        <v>3624000</v>
      </c>
      <c r="E37" s="9">
        <f t="shared" si="0"/>
        <v>72480</v>
      </c>
      <c r="F37" s="9">
        <v>0</v>
      </c>
      <c r="G37" s="9">
        <v>0</v>
      </c>
      <c r="H37" s="14" t="s">
        <v>3</v>
      </c>
      <c r="I37" s="1"/>
    </row>
    <row r="38" spans="1:9" x14ac:dyDescent="0.25">
      <c r="A38" s="1"/>
      <c r="B38" s="50" t="s">
        <v>272</v>
      </c>
      <c r="C38" s="126">
        <v>75</v>
      </c>
      <c r="D38" s="9">
        <v>48000</v>
      </c>
      <c r="E38" s="9">
        <f t="shared" si="0"/>
        <v>640</v>
      </c>
      <c r="F38" s="9">
        <v>0</v>
      </c>
      <c r="G38" s="9">
        <v>0</v>
      </c>
      <c r="H38" s="14" t="s">
        <v>3</v>
      </c>
      <c r="I38" s="1"/>
    </row>
    <row r="39" spans="1:9" x14ac:dyDescent="0.25">
      <c r="A39" s="1"/>
      <c r="B39" s="50" t="s">
        <v>283</v>
      </c>
      <c r="C39" s="126">
        <v>50</v>
      </c>
      <c r="D39" s="9">
        <v>62000</v>
      </c>
      <c r="E39" s="9">
        <f t="shared" si="0"/>
        <v>1240</v>
      </c>
      <c r="F39" s="9">
        <v>0</v>
      </c>
      <c r="G39" s="9">
        <v>0</v>
      </c>
      <c r="H39" s="14" t="s">
        <v>3</v>
      </c>
      <c r="I39" s="1"/>
    </row>
    <row r="40" spans="1:9" x14ac:dyDescent="0.25">
      <c r="A40" s="1"/>
      <c r="B40" s="50" t="s">
        <v>275</v>
      </c>
      <c r="C40" s="126">
        <v>75</v>
      </c>
      <c r="D40" s="9">
        <v>31000</v>
      </c>
      <c r="E40" s="9">
        <f t="shared" si="0"/>
        <v>413.33333333333331</v>
      </c>
      <c r="F40" s="9">
        <v>0</v>
      </c>
      <c r="G40" s="9">
        <v>0</v>
      </c>
      <c r="H40" s="14" t="s">
        <v>3</v>
      </c>
      <c r="I40" s="1"/>
    </row>
    <row r="41" spans="1:9" ht="26.25" x14ac:dyDescent="0.25">
      <c r="A41" s="1"/>
      <c r="B41" s="50" t="s">
        <v>285</v>
      </c>
      <c r="C41" s="126">
        <v>20</v>
      </c>
      <c r="D41" s="9">
        <v>2636000</v>
      </c>
      <c r="E41" s="9">
        <f t="shared" si="0"/>
        <v>131800</v>
      </c>
      <c r="F41" s="9">
        <v>0</v>
      </c>
      <c r="G41" s="9">
        <v>0</v>
      </c>
      <c r="H41" s="14" t="s">
        <v>3</v>
      </c>
      <c r="I41" s="1"/>
    </row>
    <row r="42" spans="1:9" ht="26.25" x14ac:dyDescent="0.25">
      <c r="A42" s="1"/>
      <c r="B42" s="50" t="s">
        <v>286</v>
      </c>
      <c r="C42" s="126">
        <v>10</v>
      </c>
      <c r="D42" s="9">
        <v>660000</v>
      </c>
      <c r="E42" s="9">
        <f t="shared" si="0"/>
        <v>66000</v>
      </c>
      <c r="F42" s="9">
        <v>0</v>
      </c>
      <c r="G42" s="9">
        <v>0</v>
      </c>
      <c r="H42" s="14" t="s">
        <v>3</v>
      </c>
      <c r="I42" s="1"/>
    </row>
    <row r="43" spans="1:9" x14ac:dyDescent="0.25">
      <c r="A43" s="1"/>
      <c r="B43" s="50" t="s">
        <v>272</v>
      </c>
      <c r="C43" s="126">
        <v>75</v>
      </c>
      <c r="D43" s="9">
        <v>4919000</v>
      </c>
      <c r="E43" s="9">
        <f t="shared" si="0"/>
        <v>65586.666666666672</v>
      </c>
      <c r="F43" s="9">
        <v>0</v>
      </c>
      <c r="G43" s="9">
        <v>0</v>
      </c>
      <c r="H43" s="14" t="s">
        <v>3</v>
      </c>
      <c r="I43" s="1"/>
    </row>
    <row r="44" spans="1:9" ht="26.25" x14ac:dyDescent="0.25">
      <c r="A44" s="1"/>
      <c r="B44" s="50" t="s">
        <v>273</v>
      </c>
      <c r="C44" s="126">
        <v>75</v>
      </c>
      <c r="D44" s="9">
        <v>7140000</v>
      </c>
      <c r="E44" s="9">
        <f t="shared" si="0"/>
        <v>95200</v>
      </c>
      <c r="F44" s="9">
        <v>0</v>
      </c>
      <c r="G44" s="9">
        <v>0</v>
      </c>
      <c r="H44" s="14" t="s">
        <v>3</v>
      </c>
      <c r="I44" s="1"/>
    </row>
    <row r="45" spans="1:9" ht="26.25" x14ac:dyDescent="0.25">
      <c r="A45" s="1"/>
      <c r="B45" s="50" t="s">
        <v>278</v>
      </c>
      <c r="C45" s="126">
        <v>75</v>
      </c>
      <c r="D45" s="9">
        <v>3064000</v>
      </c>
      <c r="E45" s="9">
        <f t="shared" si="0"/>
        <v>40853.333333333336</v>
      </c>
      <c r="F45" s="9">
        <v>0</v>
      </c>
      <c r="G45" s="9">
        <v>0</v>
      </c>
      <c r="H45" s="14" t="s">
        <v>3</v>
      </c>
      <c r="I45" s="1"/>
    </row>
    <row r="46" spans="1:9" ht="26.25" x14ac:dyDescent="0.25">
      <c r="A46" s="1"/>
      <c r="B46" s="50" t="s">
        <v>287</v>
      </c>
      <c r="C46" s="126">
        <v>75</v>
      </c>
      <c r="D46" s="9">
        <v>1012000</v>
      </c>
      <c r="E46" s="9">
        <f t="shared" si="0"/>
        <v>13493.333333333334</v>
      </c>
      <c r="F46" s="9">
        <v>0</v>
      </c>
      <c r="G46" s="9">
        <v>0</v>
      </c>
      <c r="H46" s="14" t="s">
        <v>3</v>
      </c>
      <c r="I46" s="1"/>
    </row>
    <row r="47" spans="1:9" ht="26.25" x14ac:dyDescent="0.25">
      <c r="A47" s="1"/>
      <c r="B47" s="50" t="s">
        <v>274</v>
      </c>
      <c r="C47" s="126">
        <v>75</v>
      </c>
      <c r="D47" s="9">
        <v>6690000</v>
      </c>
      <c r="E47" s="9">
        <f t="shared" si="0"/>
        <v>89200</v>
      </c>
      <c r="F47" s="9">
        <v>0</v>
      </c>
      <c r="G47" s="9">
        <v>0</v>
      </c>
      <c r="H47" s="14" t="s">
        <v>3</v>
      </c>
      <c r="I47" s="1"/>
    </row>
    <row r="48" spans="1:9" x14ac:dyDescent="0.25">
      <c r="A48" s="1"/>
      <c r="B48" s="50" t="s">
        <v>275</v>
      </c>
      <c r="C48" s="126">
        <v>75</v>
      </c>
      <c r="D48" s="9">
        <v>3457000</v>
      </c>
      <c r="E48" s="9">
        <f t="shared" si="0"/>
        <v>46093.333333333336</v>
      </c>
      <c r="F48" s="9">
        <v>0</v>
      </c>
      <c r="G48" s="9">
        <v>0</v>
      </c>
      <c r="H48" s="14" t="s">
        <v>3</v>
      </c>
      <c r="I48" s="1"/>
    </row>
    <row r="49" spans="1:9" x14ac:dyDescent="0.25">
      <c r="A49" s="1"/>
      <c r="B49" s="50" t="s">
        <v>276</v>
      </c>
      <c r="C49" s="126">
        <v>75</v>
      </c>
      <c r="D49" s="9">
        <v>1827000</v>
      </c>
      <c r="E49" s="9">
        <f t="shared" si="0"/>
        <v>24360</v>
      </c>
      <c r="F49" s="9">
        <v>0</v>
      </c>
      <c r="G49" s="9">
        <v>0</v>
      </c>
      <c r="H49" s="14" t="s">
        <v>3</v>
      </c>
      <c r="I49" s="1"/>
    </row>
    <row r="50" spans="1:9" x14ac:dyDescent="0.25">
      <c r="A50" s="1"/>
      <c r="B50" s="50" t="s">
        <v>272</v>
      </c>
      <c r="C50" s="126">
        <v>75</v>
      </c>
      <c r="D50" s="9">
        <v>16000</v>
      </c>
      <c r="E50" s="9">
        <f t="shared" si="0"/>
        <v>213.33333333333334</v>
      </c>
      <c r="F50" s="9">
        <v>0</v>
      </c>
      <c r="G50" s="9">
        <v>0</v>
      </c>
      <c r="H50" s="14" t="s">
        <v>3</v>
      </c>
      <c r="I50" s="1"/>
    </row>
    <row r="51" spans="1:9" ht="26.25" x14ac:dyDescent="0.25">
      <c r="A51" s="1"/>
      <c r="B51" s="50" t="s">
        <v>273</v>
      </c>
      <c r="C51" s="126">
        <v>75</v>
      </c>
      <c r="D51" s="9">
        <v>304000</v>
      </c>
      <c r="E51" s="9">
        <f t="shared" si="0"/>
        <v>4053.3333333333335</v>
      </c>
      <c r="F51" s="9">
        <v>0</v>
      </c>
      <c r="G51" s="9">
        <v>0</v>
      </c>
      <c r="H51" s="14" t="s">
        <v>3</v>
      </c>
      <c r="I51" s="1"/>
    </row>
    <row r="52" spans="1:9" ht="26.25" x14ac:dyDescent="0.25">
      <c r="A52" s="1"/>
      <c r="B52" s="50" t="s">
        <v>278</v>
      </c>
      <c r="C52" s="126">
        <v>75</v>
      </c>
      <c r="D52" s="9">
        <v>1090000</v>
      </c>
      <c r="E52" s="9">
        <f t="shared" si="0"/>
        <v>14533.333333333334</v>
      </c>
      <c r="F52" s="9">
        <v>0</v>
      </c>
      <c r="G52" s="9">
        <v>0</v>
      </c>
      <c r="H52" s="14" t="s">
        <v>3</v>
      </c>
      <c r="I52" s="1"/>
    </row>
    <row r="53" spans="1:9" x14ac:dyDescent="0.25">
      <c r="A53" s="1"/>
      <c r="B53" s="50" t="s">
        <v>275</v>
      </c>
      <c r="C53" s="126">
        <v>75</v>
      </c>
      <c r="D53" s="9">
        <v>485000</v>
      </c>
      <c r="E53" s="9">
        <f t="shared" si="0"/>
        <v>6466.666666666667</v>
      </c>
      <c r="F53" s="9">
        <v>0</v>
      </c>
      <c r="G53" s="9">
        <v>0</v>
      </c>
      <c r="H53" s="14" t="s">
        <v>3</v>
      </c>
      <c r="I53" s="1"/>
    </row>
    <row r="54" spans="1:9" x14ac:dyDescent="0.25">
      <c r="A54" s="1"/>
      <c r="B54" s="50" t="s">
        <v>277</v>
      </c>
      <c r="C54" s="126">
        <v>50</v>
      </c>
      <c r="D54" s="9">
        <v>1254000</v>
      </c>
      <c r="E54" s="9">
        <f t="shared" si="0"/>
        <v>25080</v>
      </c>
      <c r="F54" s="9">
        <v>0</v>
      </c>
      <c r="G54" s="9">
        <v>0</v>
      </c>
      <c r="H54" s="14" t="s">
        <v>3</v>
      </c>
      <c r="I54" s="1"/>
    </row>
    <row r="55" spans="1:9" x14ac:dyDescent="0.25">
      <c r="A55" s="1"/>
      <c r="B55" s="50" t="s">
        <v>288</v>
      </c>
      <c r="C55" s="126">
        <v>75</v>
      </c>
      <c r="D55" s="9">
        <v>124000</v>
      </c>
      <c r="E55" s="9">
        <f t="shared" si="0"/>
        <v>1653.3333333333333</v>
      </c>
      <c r="F55" s="9">
        <v>0</v>
      </c>
      <c r="G55" s="9">
        <v>0</v>
      </c>
      <c r="H55" s="14" t="s">
        <v>3</v>
      </c>
      <c r="I55" s="1"/>
    </row>
    <row r="56" spans="1:9" ht="26.25" x14ac:dyDescent="0.25">
      <c r="A56" s="1"/>
      <c r="B56" s="50" t="s">
        <v>284</v>
      </c>
      <c r="C56" s="126">
        <v>50</v>
      </c>
      <c r="D56" s="9">
        <v>253000</v>
      </c>
      <c r="E56" s="9">
        <f t="shared" si="0"/>
        <v>5060</v>
      </c>
      <c r="F56" s="9">
        <v>0</v>
      </c>
      <c r="G56" s="9">
        <v>0</v>
      </c>
      <c r="H56" s="14" t="s">
        <v>3</v>
      </c>
      <c r="I56" s="1"/>
    </row>
    <row r="57" spans="1:9" x14ac:dyDescent="0.25">
      <c r="A57" s="1"/>
      <c r="B57" s="75" t="s">
        <v>263</v>
      </c>
      <c r="C57" s="76"/>
      <c r="D57" s="77"/>
      <c r="E57" s="12">
        <f>SUM(E10:E56)</f>
        <v>817663.33333333349</v>
      </c>
      <c r="F57" s="12">
        <f>SUM(F10:F56)</f>
        <v>0</v>
      </c>
      <c r="G57" s="12">
        <f>SUM(G10:G56)</f>
        <v>0</v>
      </c>
      <c r="H57" s="13" t="s">
        <v>3</v>
      </c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B83" s="1"/>
      <c r="C83" s="1"/>
      <c r="D83" s="1"/>
      <c r="E83" s="1"/>
      <c r="F83" s="1"/>
      <c r="G83" s="1"/>
      <c r="H83" s="1"/>
    </row>
    <row r="84" spans="1:9" x14ac:dyDescent="0.25">
      <c r="B84" s="1"/>
      <c r="C84" s="1"/>
      <c r="D84" s="1"/>
      <c r="E84" s="1"/>
      <c r="F84" s="1"/>
      <c r="G84" s="1"/>
      <c r="H84" s="1"/>
    </row>
    <row r="85" spans="1:9" x14ac:dyDescent="0.25">
      <c r="B85" s="1"/>
      <c r="C85" s="1"/>
      <c r="D85" s="1"/>
      <c r="E85" s="1"/>
      <c r="F85" s="1"/>
      <c r="G85" s="1"/>
      <c r="H85" s="1"/>
    </row>
    <row r="86" spans="1:9" x14ac:dyDescent="0.25">
      <c r="B86" s="1"/>
      <c r="C86" s="1"/>
      <c r="D86" s="1"/>
      <c r="E86" s="1"/>
      <c r="F86" s="1"/>
      <c r="G86" s="1"/>
      <c r="H86" s="1"/>
    </row>
    <row r="87" spans="1:9" x14ac:dyDescent="0.25">
      <c r="B87" s="1"/>
      <c r="C87" s="1"/>
      <c r="D87" s="1"/>
      <c r="E87" s="1"/>
      <c r="F87" s="1"/>
      <c r="G87" s="1"/>
      <c r="H87" s="1"/>
    </row>
    <row r="88" spans="1:9" x14ac:dyDescent="0.25">
      <c r="B88" s="1"/>
      <c r="C88" s="1"/>
      <c r="D88" s="1"/>
      <c r="E88" s="1"/>
      <c r="F88" s="1"/>
      <c r="G88" s="1"/>
      <c r="H88" s="1"/>
    </row>
    <row r="89" spans="1:9" x14ac:dyDescent="0.25">
      <c r="B89" s="1"/>
      <c r="C89" s="1"/>
      <c r="D89" s="1"/>
      <c r="E89" s="1"/>
      <c r="F89" s="1"/>
      <c r="G89" s="1"/>
      <c r="H89" s="1"/>
    </row>
    <row r="90" spans="1:9" x14ac:dyDescent="0.25">
      <c r="B90" s="1"/>
      <c r="C90" s="1"/>
      <c r="D90" s="1"/>
      <c r="E90" s="1"/>
      <c r="F90" s="1"/>
      <c r="G90" s="1"/>
      <c r="H90" s="1"/>
    </row>
    <row r="91" spans="1:9" x14ac:dyDescent="0.25">
      <c r="B91" s="1"/>
      <c r="C91" s="1"/>
      <c r="D91" s="1"/>
      <c r="E91" s="1"/>
      <c r="F91" s="1"/>
      <c r="G91" s="1"/>
      <c r="H91" s="1"/>
    </row>
    <row r="92" spans="1:9" x14ac:dyDescent="0.25">
      <c r="B92" s="1"/>
      <c r="C92" s="1"/>
      <c r="D92" s="1"/>
      <c r="E92" s="1"/>
      <c r="F92" s="1"/>
      <c r="G92" s="1"/>
      <c r="H92" s="1"/>
    </row>
  </sheetData>
  <sheetProtection algorithmName="SHA-512" hashValue="0BNN6jZhm7oVhZ5QHFNCtqtP0X9ucb4EKp+QPQR8Hr500VnoH7NOZmSC/0Tgcmgc4AXtOOsA/cH9Laod6HaN0Q==" saltValue="Zv3eudVU40kmdWPAhd2nbQ==" spinCount="100000" sheet="1" objects="1" scenarios="1"/>
  <mergeCells count="3">
    <mergeCell ref="B3:H4"/>
    <mergeCell ref="B57:D5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137</v>
      </c>
      <c r="C8" s="44"/>
      <c r="D8" s="44"/>
      <c r="E8" s="44"/>
      <c r="F8" s="22"/>
      <c r="G8" s="1"/>
    </row>
    <row r="9" spans="1:7" ht="17.25" customHeight="1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289</v>
      </c>
      <c r="C10" s="24">
        <f>'Fane 9. Anlægsprojekter'!F57</f>
        <v>0</v>
      </c>
      <c r="D10" s="14" t="s">
        <v>3</v>
      </c>
      <c r="E10" s="9">
        <f>SUM('Fane 9. Anlægsprojekter'!E57,'Fane 9. Anlægsprojekter'!G57)</f>
        <v>817663.33333333349</v>
      </c>
      <c r="F10" s="14" t="s">
        <v>3</v>
      </c>
      <c r="G10" s="1"/>
    </row>
    <row r="11" spans="1:7" x14ac:dyDescent="0.25">
      <c r="A11" s="1"/>
      <c r="B11" s="27" t="s">
        <v>290</v>
      </c>
      <c r="C11" s="24">
        <v>0</v>
      </c>
      <c r="D11" s="14" t="s">
        <v>3</v>
      </c>
      <c r="E11" s="9">
        <v>219890</v>
      </c>
      <c r="F11" s="14" t="s">
        <v>3</v>
      </c>
      <c r="G11" s="1"/>
    </row>
    <row r="12" spans="1:7" x14ac:dyDescent="0.25">
      <c r="A12" s="1"/>
      <c r="B12" s="43" t="s">
        <v>60</v>
      </c>
      <c r="C12" s="12">
        <f>SUM(C10:C11)</f>
        <v>0</v>
      </c>
      <c r="D12" s="13" t="s">
        <v>3</v>
      </c>
      <c r="E12" s="12">
        <f>SUM(E10:E11)</f>
        <v>1037553.3333333335</v>
      </c>
      <c r="F12" s="13" t="s">
        <v>3</v>
      </c>
      <c r="G12" s="1"/>
    </row>
    <row r="13" spans="1:7" x14ac:dyDescent="0.25">
      <c r="A13" s="1"/>
      <c r="B13" s="43" t="s">
        <v>71</v>
      </c>
      <c r="C13" s="12">
        <f>C12*(1+'Fane 15. Nøgletal'!C12)</f>
        <v>0</v>
      </c>
      <c r="D13" s="13" t="s">
        <v>3</v>
      </c>
      <c r="E13" s="12">
        <f>E12*(1+'Fane 15. Nøgletal'!C12)</f>
        <v>1057993.1340000003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lVnXDZ+9Ak76Btnhk0j9z0q2FcTe0UISvyX1RaY5iNIpxEmJDlQisiGI8eiYAftemn9DbEwktwFH2EC98yOfg==" saltValue="2KHo2hMqBfRUH6diQwSyd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183</v>
      </c>
      <c r="C8" s="76"/>
      <c r="D8" s="76"/>
      <c r="E8" s="76"/>
      <c r="F8" s="77"/>
      <c r="G8" s="1"/>
    </row>
    <row r="9" spans="1:7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271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3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75" t="s">
        <v>184</v>
      </c>
      <c r="C16" s="76"/>
      <c r="D16" s="76"/>
      <c r="E16" s="76"/>
      <c r="F16" s="77"/>
      <c r="G16" s="1"/>
    </row>
    <row r="17" spans="1:7" x14ac:dyDescent="0.25">
      <c r="A17" s="1"/>
      <c r="B17" s="36" t="s">
        <v>25</v>
      </c>
      <c r="C17" s="36" t="s">
        <v>16</v>
      </c>
      <c r="D17" s="37"/>
      <c r="E17" s="36" t="s">
        <v>48</v>
      </c>
      <c r="F17" s="39"/>
      <c r="G17" s="1"/>
    </row>
    <row r="18" spans="1:7" x14ac:dyDescent="0.25">
      <c r="A18" s="1"/>
      <c r="B18" s="27" t="s">
        <v>271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3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75" t="s">
        <v>185</v>
      </c>
      <c r="C24" s="76"/>
      <c r="D24" s="76"/>
      <c r="E24" s="76"/>
      <c r="F24" s="77"/>
      <c r="G24" s="1"/>
    </row>
    <row r="25" spans="1:7" x14ac:dyDescent="0.25">
      <c r="A25" s="1"/>
      <c r="B25" s="36" t="s">
        <v>25</v>
      </c>
      <c r="C25" s="36" t="s">
        <v>16</v>
      </c>
      <c r="D25" s="37"/>
      <c r="E25" s="36" t="s">
        <v>48</v>
      </c>
      <c r="F25" s="39"/>
      <c r="G25" s="1"/>
    </row>
    <row r="26" spans="1:7" x14ac:dyDescent="0.25">
      <c r="A26" s="1"/>
      <c r="B26" s="27" t="s">
        <v>271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3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75" t="s">
        <v>186</v>
      </c>
      <c r="C32" s="76"/>
      <c r="D32" s="76"/>
      <c r="E32" s="76"/>
      <c r="F32" s="77"/>
      <c r="G32" s="1"/>
    </row>
    <row r="33" spans="1:7" x14ac:dyDescent="0.25">
      <c r="A33" s="1"/>
      <c r="B33" s="36" t="s">
        <v>25</v>
      </c>
      <c r="C33" s="36" t="s">
        <v>16</v>
      </c>
      <c r="D33" s="37"/>
      <c r="E33" s="36" t="s">
        <v>48</v>
      </c>
      <c r="F33" s="39"/>
      <c r="G33" s="1"/>
    </row>
    <row r="34" spans="1:7" x14ac:dyDescent="0.25">
      <c r="A34" s="1"/>
      <c r="B34" s="27" t="s">
        <v>271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3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5oWS+xF81sRb670QXBbIVs9wRQzWgm6zokOVtU7ScEk9VWLcdxt1wo/7a0HtE023/sycrv3cRDa0cdjiHFPvA==" saltValue="HdFwC1trkg9vxtcmsYal1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243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96"/>
      <c r="C5" s="96"/>
      <c r="D5" s="96"/>
      <c r="E5" s="96"/>
      <c r="F5" s="9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158</v>
      </c>
      <c r="C8" s="76"/>
      <c r="D8" s="76"/>
      <c r="E8" s="76"/>
      <c r="F8" s="77"/>
      <c r="G8" s="1"/>
    </row>
    <row r="9" spans="1:7" x14ac:dyDescent="0.25">
      <c r="A9" s="1"/>
      <c r="B9" s="120" t="s">
        <v>157</v>
      </c>
      <c r="C9" s="121"/>
      <c r="D9" s="122"/>
      <c r="E9" s="9">
        <v>0</v>
      </c>
      <c r="F9" s="14" t="s">
        <v>3</v>
      </c>
      <c r="G9" s="1"/>
    </row>
    <row r="10" spans="1:7" x14ac:dyDescent="0.25">
      <c r="A10" s="1"/>
      <c r="B10" s="117" t="s">
        <v>10</v>
      </c>
      <c r="C10" s="118"/>
      <c r="D10" s="119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17" t="s">
        <v>39</v>
      </c>
      <c r="C11" s="118"/>
      <c r="D11" s="119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75" t="s">
        <v>162</v>
      </c>
      <c r="C12" s="76"/>
      <c r="D12" s="77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159</v>
      </c>
      <c r="C14" s="76"/>
      <c r="D14" s="76"/>
      <c r="E14" s="76"/>
      <c r="F14" s="77"/>
      <c r="G14" s="1"/>
    </row>
    <row r="15" spans="1:7" x14ac:dyDescent="0.25">
      <c r="A15" s="1"/>
      <c r="B15" s="120" t="s">
        <v>157</v>
      </c>
      <c r="C15" s="121"/>
      <c r="D15" s="122"/>
      <c r="E15" s="9">
        <v>0</v>
      </c>
      <c r="F15" s="14" t="s">
        <v>3</v>
      </c>
      <c r="G15" s="1"/>
    </row>
    <row r="16" spans="1:7" x14ac:dyDescent="0.25">
      <c r="A16" s="1"/>
      <c r="B16" s="117" t="s">
        <v>10</v>
      </c>
      <c r="C16" s="118"/>
      <c r="D16" s="119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17" t="s">
        <v>39</v>
      </c>
      <c r="C17" s="118"/>
      <c r="D17" s="119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75" t="s">
        <v>163</v>
      </c>
      <c r="C18" s="76"/>
      <c r="D18" s="77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160</v>
      </c>
      <c r="C20" s="76"/>
      <c r="D20" s="76"/>
      <c r="E20" s="76"/>
      <c r="F20" s="77"/>
      <c r="G20" s="1"/>
    </row>
    <row r="21" spans="1:7" x14ac:dyDescent="0.25">
      <c r="A21" s="1"/>
      <c r="B21" s="120" t="s">
        <v>157</v>
      </c>
      <c r="C21" s="121"/>
      <c r="D21" s="122"/>
      <c r="E21" s="9">
        <v>0</v>
      </c>
      <c r="F21" s="14" t="s">
        <v>3</v>
      </c>
      <c r="G21" s="1"/>
    </row>
    <row r="22" spans="1:7" x14ac:dyDescent="0.25">
      <c r="A22" s="1"/>
      <c r="B22" s="117" t="s">
        <v>10</v>
      </c>
      <c r="C22" s="118"/>
      <c r="D22" s="119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17" t="s">
        <v>39</v>
      </c>
      <c r="C23" s="118"/>
      <c r="D23" s="119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75" t="s">
        <v>164</v>
      </c>
      <c r="C24" s="76"/>
      <c r="D24" s="77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161</v>
      </c>
      <c r="C26" s="76"/>
      <c r="D26" s="76"/>
      <c r="E26" s="76"/>
      <c r="F26" s="77"/>
      <c r="G26" s="1"/>
    </row>
    <row r="27" spans="1:7" x14ac:dyDescent="0.25">
      <c r="A27" s="1"/>
      <c r="B27" s="120" t="s">
        <v>157</v>
      </c>
      <c r="C27" s="121"/>
      <c r="D27" s="122"/>
      <c r="E27" s="9">
        <v>0</v>
      </c>
      <c r="F27" s="14" t="s">
        <v>3</v>
      </c>
      <c r="G27" s="1"/>
    </row>
    <row r="28" spans="1:7" x14ac:dyDescent="0.25">
      <c r="A28" s="1"/>
      <c r="B28" s="117" t="s">
        <v>10</v>
      </c>
      <c r="C28" s="118"/>
      <c r="D28" s="119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17" t="s">
        <v>39</v>
      </c>
      <c r="C29" s="118"/>
      <c r="D29" s="119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75" t="s">
        <v>165</v>
      </c>
      <c r="C30" s="76"/>
      <c r="D30" s="77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b2ewp8xEPSjJw5dfXPv7YIp7OCeuseRbVDUXet31IvXqA5IMwc1uX/IDNUrLwud7NXLpfpDmCKvlTl0O+lsbw==" saltValue="PlTTUtTuNCdbKGKgrYKUj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229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33</v>
      </c>
      <c r="C9" s="90" t="s">
        <v>16</v>
      </c>
      <c r="D9" s="92"/>
      <c r="E9" s="93" t="s">
        <v>48</v>
      </c>
      <c r="F9" s="95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/onJdu5+SEJB/Sc22EvhdXiqwr8U4w1SArHldeNtqunzBFiMqm+Mp4fOPTR77Baa1iS0VQ9sVL4S1zA+RU3Cg==" saltValue="CP5gix+L5j1CnNKM8/A4s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227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167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168</v>
      </c>
      <c r="C14" s="76"/>
      <c r="D14" s="76"/>
      <c r="E14" s="76"/>
      <c r="F14" s="77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3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3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166</v>
      </c>
      <c r="C20" s="76"/>
      <c r="D20" s="76"/>
      <c r="E20" s="76"/>
      <c r="F20" s="77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3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3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169</v>
      </c>
      <c r="C26" s="76"/>
      <c r="D26" s="76"/>
      <c r="E26" s="76"/>
      <c r="F26" s="77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3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3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rLHqZhg7iJWt31+kmw0QfgyqWO0JcRo0PTXsGT+B53XqAHD5G+QwU4dbB6Qfxvc+4wWIj0DoM0Xx+JwEcPE2Q==" saltValue="1NjGxQeq/Lm3e1p9lFsFo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18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13372000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-13372000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0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0</v>
      </c>
      <c r="H13" s="14" t="s">
        <v>28</v>
      </c>
      <c r="I13" s="1"/>
    </row>
    <row r="14" spans="1:9" x14ac:dyDescent="0.25">
      <c r="A14" s="1"/>
      <c r="B14" s="75" t="s">
        <v>136</v>
      </c>
      <c r="C14" s="76"/>
      <c r="D14" s="76"/>
      <c r="E14" s="76"/>
      <c r="F14" s="7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cWavWrmFzjs8VQBO9oMkntdIsJvemu3YMN0LKIWRIQZG71OLVMBwaThNAJPFfRYbIsis2TRUIzj4hEdfW2HqA==" saltValue="4WyqRsomWdkVwBwQV9Q03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x14ac:dyDescent="0.25">
      <c r="A9" s="1"/>
      <c r="B9" s="41" t="s">
        <v>35</v>
      </c>
      <c r="C9" s="7">
        <f>'Fane 3. Omkostninger i ØR2019'!E20</f>
        <v>138901492.90751982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1159348.0553285226</v>
      </c>
      <c r="D11" s="8" t="s">
        <v>3</v>
      </c>
      <c r="E11" s="1"/>
    </row>
    <row r="12" spans="1:5" ht="17.100000000000001" customHeight="1" x14ac:dyDescent="0.25">
      <c r="A12" s="1"/>
      <c r="B12" s="51" t="s">
        <v>64</v>
      </c>
      <c r="C12" s="7">
        <f>'Fane 10.1. Varige tillæg'!C13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65</v>
      </c>
      <c r="C13" s="9">
        <f>'Fane 10.1. Varige tillæg'!E13</f>
        <v>1057993.1340000003</v>
      </c>
      <c r="D13" s="8" t="s">
        <v>3</v>
      </c>
      <c r="E13" s="1"/>
    </row>
    <row r="14" spans="1:5" ht="17.100000000000001" customHeight="1" x14ac:dyDescent="0.25">
      <c r="A14" s="1"/>
      <c r="B14" s="51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1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1" t="s">
        <v>27</v>
      </c>
      <c r="C18" s="9">
        <f>(C9-SUM(C10:C11))*'Fane 15. Nøgletal'!C10+SUM(C10:C11)*'Fane 15. Nøgletal'!C11+SUM('Fane 2.1. Økonomisk ramme 2020'!C12:C17)*'Fane 15. Nøgletal'!C12</f>
        <v>2450922.9817881999</v>
      </c>
      <c r="D18" s="8" t="s">
        <v>3</v>
      </c>
      <c r="E18" s="1"/>
    </row>
    <row r="19" spans="1:5" ht="17.100000000000001" customHeight="1" x14ac:dyDescent="0.25">
      <c r="A19" s="1"/>
      <c r="B19" s="51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1" t="s">
        <v>39</v>
      </c>
      <c r="C20" s="9">
        <f>-'Fane 4.1. Gen. krav - drift'!G28</f>
        <v>-802970.7397080122</v>
      </c>
      <c r="D20" s="8" t="s">
        <v>3</v>
      </c>
      <c r="E20" s="1"/>
    </row>
    <row r="21" spans="1:5" ht="17.100000000000001" customHeight="1" x14ac:dyDescent="0.25">
      <c r="A21" s="1"/>
      <c r="B21" s="51" t="s">
        <v>40</v>
      </c>
      <c r="C21" s="9">
        <f>-'Fane 4.2. Gen. krav - anlæg'!G26</f>
        <v>-1817882.6361400962</v>
      </c>
      <c r="D21" s="8" t="s">
        <v>3</v>
      </c>
      <c r="E21" s="1"/>
    </row>
    <row r="22" spans="1:5" ht="17.100000000000001" customHeight="1" x14ac:dyDescent="0.25">
      <c r="A22" s="1"/>
      <c r="B22" s="45" t="s">
        <v>29</v>
      </c>
      <c r="C22" s="10">
        <f>SUM(C9,C12:C21)</f>
        <v>139789555.64745989</v>
      </c>
      <c r="D22" s="11" t="s">
        <v>3</v>
      </c>
      <c r="E22" s="1"/>
    </row>
    <row r="23" spans="1:5" ht="15" customHeight="1" x14ac:dyDescent="0.25">
      <c r="A23" s="1"/>
      <c r="B23" s="43" t="s">
        <v>17</v>
      </c>
      <c r="C23" s="44"/>
      <c r="D23" s="22"/>
      <c r="E23" s="1"/>
    </row>
    <row r="24" spans="1:5" ht="15" customHeight="1" x14ac:dyDescent="0.25">
      <c r="A24" s="1"/>
      <c r="B24" s="38" t="s">
        <v>17</v>
      </c>
      <c r="C24" s="10">
        <f>'Fane 6. Ikke-påvirkelige omk.'!C15+'Fane 6. Ikke-påvirkelige omk.'!C19+'Fane 6. Ikke-påvirkelige omk.'!C27</f>
        <v>2485093.5351</v>
      </c>
      <c r="D24" s="11" t="s">
        <v>3</v>
      </c>
      <c r="E24" s="1"/>
    </row>
    <row r="25" spans="1:5" ht="15" customHeight="1" x14ac:dyDescent="0.25">
      <c r="A25" s="1"/>
      <c r="B25" s="43" t="s">
        <v>143</v>
      </c>
      <c r="C25" s="44"/>
      <c r="D25" s="22"/>
      <c r="E25" s="1"/>
    </row>
    <row r="26" spans="1:5" ht="15" customHeight="1" x14ac:dyDescent="0.25">
      <c r="A26" s="1"/>
      <c r="B26" s="45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3" t="s">
        <v>142</v>
      </c>
      <c r="C27" s="44"/>
      <c r="D27" s="22"/>
      <c r="E27" s="1"/>
    </row>
    <row r="28" spans="1:5" ht="15" customHeight="1" x14ac:dyDescent="0.25">
      <c r="A28" s="1"/>
      <c r="B28" s="51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1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45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3" t="s">
        <v>11</v>
      </c>
      <c r="C31" s="44"/>
      <c r="D31" s="22"/>
      <c r="E31" s="1"/>
    </row>
    <row r="32" spans="1:5" ht="15" customHeight="1" x14ac:dyDescent="0.25">
      <c r="A32" s="1"/>
      <c r="B32" s="38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3" t="s">
        <v>258</v>
      </c>
      <c r="C33" s="44"/>
      <c r="D33" s="22"/>
      <c r="E33" s="1"/>
    </row>
    <row r="34" spans="1:5" x14ac:dyDescent="0.25">
      <c r="A34" s="1"/>
      <c r="B34" s="38" t="s">
        <v>259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3" t="s">
        <v>36</v>
      </c>
      <c r="C35" s="12">
        <f>SUM(C22,C24,C26,C30,C32,C34)</f>
        <v>142274649.18255991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fsXbu4QJoU+7e9qhjY8TbH2g9m4LOEJPbULVqQ6qH5iw8b5tqaSwFX6sN6REqFzk4iLj8VL54mg+ik4kYClVg==" saltValue="E+0qFOENXWPqv9505DAji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208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3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3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3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3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3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GiUhCb7CzeChsYpw8XG7dpkLTnEavjcjX7pWC64ZyqvEl/lV0Htze7lr41SnAyZrlu2us+6neg9uL97l7FWjQA==" saltValue="OOHu+NkV3zJRS/7bq4AR2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ht="15" customHeight="1" x14ac:dyDescent="0.25">
      <c r="A9" s="1"/>
      <c r="B9" s="41" t="s">
        <v>37</v>
      </c>
      <c r="C9" s="7">
        <f>'Fane 2.1. Økonomisk ramme 2020'!C22</f>
        <v>139789555.64745989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1168684.2504376413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1048196.6677355901</v>
      </c>
      <c r="D13" s="8" t="s">
        <v>3</v>
      </c>
      <c r="E13" s="1"/>
    </row>
    <row r="14" spans="1:5" ht="15" customHeight="1" x14ac:dyDescent="0.25">
      <c r="A14" s="1"/>
      <c r="B14" s="51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1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42" t="s">
        <v>27</v>
      </c>
      <c r="C16" s="9">
        <f>(C9-SUM(C10:C13))*'Fane 15. Nøgletal'!C10+SUM(C10:C11)*'Fane 15. Nøgletal'!C11+SUM(C12:C15)*'Fane 15. Nøgletal'!C12</f>
        <v>2447922.0459493045</v>
      </c>
      <c r="D16" s="8" t="s">
        <v>3</v>
      </c>
      <c r="E16" s="1"/>
    </row>
    <row r="17" spans="1:5" ht="15" customHeight="1" x14ac:dyDescent="0.25">
      <c r="A17" s="1"/>
      <c r="B17" s="42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42" t="s">
        <v>39</v>
      </c>
      <c r="C18" s="9">
        <f>-'Fane 4.1. Gen. krav - drift'!G36</f>
        <v>-800682.27309984446</v>
      </c>
      <c r="D18" s="8" t="s">
        <v>3</v>
      </c>
      <c r="E18" s="1"/>
    </row>
    <row r="19" spans="1:5" ht="15" customHeight="1" x14ac:dyDescent="0.25">
      <c r="A19" s="1"/>
      <c r="B19" s="42" t="s">
        <v>40</v>
      </c>
      <c r="C19" s="9">
        <f>-'Fane 4.2. Gen. krav - anlæg'!G34</f>
        <v>-1816775.7140879512</v>
      </c>
      <c r="D19" s="8" t="s">
        <v>3</v>
      </c>
      <c r="E19" s="1"/>
    </row>
    <row r="20" spans="1:5" ht="15" customHeight="1" x14ac:dyDescent="0.25">
      <c r="A20" s="1"/>
      <c r="B20" s="46" t="s">
        <v>29</v>
      </c>
      <c r="C20" s="10">
        <f>SUM(C9,C14:C19)</f>
        <v>139620019.7062214</v>
      </c>
      <c r="D20" s="11" t="s">
        <v>3</v>
      </c>
      <c r="E20" s="1"/>
    </row>
    <row r="21" spans="1:5" x14ac:dyDescent="0.25">
      <c r="A21" s="1"/>
      <c r="B21" s="43" t="s">
        <v>17</v>
      </c>
      <c r="C21" s="4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omk.'!C15*(1+'Fane 15. Nøgletal'!C12)+'Fane 6. Ikke-påvirkelige omk.'!C20+'Fane 6. Ikke-påvirkelige omk.'!C28</f>
        <v>2534049.87774147</v>
      </c>
      <c r="D22" s="11" t="s">
        <v>3</v>
      </c>
      <c r="E22" s="1"/>
    </row>
    <row r="23" spans="1:5" ht="15" customHeight="1" x14ac:dyDescent="0.25">
      <c r="A23" s="1"/>
      <c r="B23" s="43" t="s">
        <v>143</v>
      </c>
      <c r="C23" s="44"/>
      <c r="D23" s="22"/>
      <c r="E23" s="1"/>
    </row>
    <row r="24" spans="1:5" ht="15" customHeight="1" x14ac:dyDescent="0.25">
      <c r="A24" s="1"/>
      <c r="B24" s="45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3" t="s">
        <v>142</v>
      </c>
      <c r="C25" s="44"/>
      <c r="D25" s="22"/>
      <c r="E25" s="1"/>
    </row>
    <row r="26" spans="1:5" ht="15" customHeight="1" x14ac:dyDescent="0.25">
      <c r="A26" s="1"/>
      <c r="B26" s="51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1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45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3" t="s">
        <v>45</v>
      </c>
      <c r="C29" s="12">
        <f>SUM(C20,C22,C24,C28,)</f>
        <v>142154069.58396286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LLolcGX4cZmoNDf0kxnrtVfSuFN9FAeq2BGgSvGK0Mqw3/P+vH+QWFSOt6NiPTa1j8FHGi7zpdGOd4VGuY53A==" saltValue="cEF4OK6k+C8voa49aOFQK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38</v>
      </c>
      <c r="C8" s="7">
        <f>'Fane 2.2. Økonomisk ramme 2021'!C20</f>
        <v>139620019.7062214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SUM(C8:C10)*'Fane 15. Nøgletal'!C12</f>
        <v>2750514.3882125616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drift'!G42</f>
        <v>-800126.59960231325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anlæg'!G40</f>
        <v>-2918654.2698839176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138651753.22494772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omk.'!C15*(1+'Fane 15. Nøgletal'!C12)^2+'Fane 6. Ikke-påvirkelige omk.'!C21+'Fane 6. Ikke-påvirkelige omk.'!C29</f>
        <v>2583970.6603329768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3" t="s">
        <v>46</v>
      </c>
      <c r="C26" s="12">
        <f>SUM(C15,C17,C19,C23,C25)</f>
        <v>141235723.8852807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HkA/ViF2xlIoc/uZ0B7a3yiz03OUEUSf+k+44+4fcjenwMyN4ZskhzrSTTxIxvrGdnOKEjFBNDTf8XrO9syzA==" saltValue="4bBg/x5FZLLCE/jiuOnw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220</v>
      </c>
      <c r="C8" s="7">
        <f>'Fane 2.3. Økonomisk ramme 2022'!C15</f>
        <v>138651753.22494772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C8*'Fane 15. Nøgletal'!C12</f>
        <v>2731439.5385314701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drift'!G48</f>
        <v>-799571.31174218922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anlæg'!G46</f>
        <v>-2891629.0490450133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137691992.40269199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omk.'!C15*(1+'Fane 15. Nøgletal'!C12)^3+'Fane 6. Ikke-påvirkelige omk.'!C22+'Fane 6. Ikke-påvirkelige omk.'!C30</f>
        <v>2634874.8823415367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3" t="s">
        <v>156</v>
      </c>
      <c r="C26" s="12">
        <f>SUM(C15,C17,C19,C23,C25)</f>
        <v>140326867.28503352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65Y5x5pMEHWoKQD06omELVQSGRc0onh0wGR9GuNsecEBzte/HsyO7cz7zhH52a90wQVWVgz+zBl97Wcf2ULIA==" saltValue="WW3HZvL4EMBW8HYCIr5L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254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81</v>
      </c>
      <c r="C8" s="44"/>
      <c r="D8" s="44"/>
      <c r="E8" s="44"/>
      <c r="F8" s="22"/>
      <c r="G8" s="1"/>
    </row>
    <row r="9" spans="1:7" x14ac:dyDescent="0.25">
      <c r="A9" s="1"/>
      <c r="B9" s="97" t="s">
        <v>79</v>
      </c>
      <c r="C9" s="98"/>
      <c r="D9" s="99"/>
      <c r="E9" s="7">
        <v>137911846.48495993</v>
      </c>
      <c r="F9" s="8" t="s">
        <v>3</v>
      </c>
      <c r="G9" s="1"/>
    </row>
    <row r="10" spans="1:7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84" t="s">
        <v>65</v>
      </c>
      <c r="C11" s="85"/>
      <c r="D11" s="86"/>
      <c r="E11" s="9">
        <v>1150086.4436999999</v>
      </c>
      <c r="F11" s="8" t="s">
        <v>3</v>
      </c>
      <c r="G11" s="1"/>
    </row>
    <row r="12" spans="1:7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x14ac:dyDescent="0.25">
      <c r="A13" s="1"/>
      <c r="B13" s="84" t="s">
        <v>41</v>
      </c>
      <c r="C13" s="85"/>
      <c r="D13" s="86"/>
      <c r="E13" s="9">
        <v>0</v>
      </c>
      <c r="F13" s="8" t="s">
        <v>3</v>
      </c>
      <c r="G13" s="1"/>
    </row>
    <row r="14" spans="1:7" x14ac:dyDescent="0.25">
      <c r="A14" s="1"/>
      <c r="B14" s="84" t="s">
        <v>44</v>
      </c>
      <c r="C14" s="85"/>
      <c r="D14" s="86"/>
      <c r="E14" s="9">
        <v>0</v>
      </c>
      <c r="F14" s="8" t="s">
        <v>3</v>
      </c>
      <c r="G14" s="1"/>
    </row>
    <row r="15" spans="1:7" x14ac:dyDescent="0.25">
      <c r="A15" s="1"/>
      <c r="B15" s="84" t="s">
        <v>43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84" t="s">
        <v>27</v>
      </c>
      <c r="C16" s="85"/>
      <c r="D16" s="86"/>
      <c r="E16" s="9">
        <f>E9*'Fane 15. Nøgletal'!C10+SUM(E10:E15)*'Fane 15. Nøgletal'!C11</f>
        <v>2432893.7743853293</v>
      </c>
      <c r="F16" s="8" t="s">
        <v>3</v>
      </c>
      <c r="G16" s="1"/>
    </row>
    <row r="17" spans="1:7" x14ac:dyDescent="0.25">
      <c r="A17" s="1"/>
      <c r="B17" s="84" t="s">
        <v>10</v>
      </c>
      <c r="C17" s="85"/>
      <c r="D17" s="86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4" t="s">
        <v>39</v>
      </c>
      <c r="C18" s="85"/>
      <c r="D18" s="86"/>
      <c r="E18" s="9">
        <f>-'Fane 4.1. Gen. krav - drift'!G21</f>
        <v>-805265.74708721077</v>
      </c>
      <c r="F18" s="8" t="s">
        <v>3</v>
      </c>
      <c r="G18" s="1"/>
    </row>
    <row r="19" spans="1:7" x14ac:dyDescent="0.25">
      <c r="A19" s="1"/>
      <c r="B19" s="84" t="s">
        <v>40</v>
      </c>
      <c r="C19" s="85"/>
      <c r="D19" s="86"/>
      <c r="E19" s="9">
        <f>-'Fane 4.2. Gen. krav - anlæg'!G19</f>
        <v>-1788068.0484382357</v>
      </c>
      <c r="F19" s="8" t="s">
        <v>3</v>
      </c>
      <c r="G19" s="1"/>
    </row>
    <row r="20" spans="1:7" x14ac:dyDescent="0.25">
      <c r="A20" s="1"/>
      <c r="B20" s="87" t="s">
        <v>29</v>
      </c>
      <c r="C20" s="88"/>
      <c r="D20" s="89"/>
      <c r="E20" s="10">
        <f>SUM(E9:E19)</f>
        <v>138901492.90751982</v>
      </c>
      <c r="F20" s="11" t="s">
        <v>3</v>
      </c>
      <c r="G20" s="1"/>
    </row>
    <row r="21" spans="1:7" x14ac:dyDescent="0.25">
      <c r="A21" s="1"/>
      <c r="B21" s="75" t="s">
        <v>143</v>
      </c>
      <c r="C21" s="76"/>
      <c r="D21" s="76"/>
      <c r="E21" s="76"/>
      <c r="F21" s="77"/>
      <c r="G21" s="1"/>
    </row>
    <row r="22" spans="1:7" x14ac:dyDescent="0.25">
      <c r="A22" s="1"/>
      <c r="B22" s="78" t="s">
        <v>250</v>
      </c>
      <c r="C22" s="79"/>
      <c r="D22" s="80"/>
      <c r="E22" s="35">
        <v>0</v>
      </c>
      <c r="F22" s="8" t="s">
        <v>3</v>
      </c>
      <c r="G22" s="1"/>
    </row>
    <row r="23" spans="1:7" x14ac:dyDescent="0.25">
      <c r="A23" s="1"/>
      <c r="B23" s="78" t="s">
        <v>251</v>
      </c>
      <c r="C23" s="79"/>
      <c r="D23" s="80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81" t="s">
        <v>252</v>
      </c>
      <c r="C24" s="82"/>
      <c r="D24" s="83"/>
      <c r="E24" s="10">
        <f>SUM(E22:E23)</f>
        <v>0</v>
      </c>
      <c r="F24" s="11" t="s">
        <v>3</v>
      </c>
      <c r="G24" s="1"/>
    </row>
    <row r="25" spans="1:7" x14ac:dyDescent="0.25">
      <c r="A25" s="1"/>
      <c r="B25" s="100" t="s">
        <v>17</v>
      </c>
      <c r="C25" s="101"/>
      <c r="D25" s="101"/>
      <c r="E25" s="44"/>
      <c r="F25" s="22"/>
      <c r="G25" s="1"/>
    </row>
    <row r="26" spans="1:7" x14ac:dyDescent="0.25">
      <c r="A26" s="1"/>
      <c r="B26" s="93" t="s">
        <v>17</v>
      </c>
      <c r="C26" s="94"/>
      <c r="D26" s="95"/>
      <c r="E26" s="10">
        <v>10773103.884979997</v>
      </c>
      <c r="F26" s="11" t="s">
        <v>3</v>
      </c>
      <c r="G26" s="1"/>
    </row>
    <row r="27" spans="1:7" x14ac:dyDescent="0.25">
      <c r="A27" s="1"/>
      <c r="B27" s="43" t="s">
        <v>80</v>
      </c>
      <c r="C27" s="44"/>
      <c r="D27" s="44"/>
      <c r="E27" s="44"/>
      <c r="F27" s="22"/>
      <c r="G27" s="1"/>
    </row>
    <row r="28" spans="1:7" ht="27" customHeight="1" x14ac:dyDescent="0.25">
      <c r="A28" s="1"/>
      <c r="B28" s="90" t="s">
        <v>132</v>
      </c>
      <c r="C28" s="91"/>
      <c r="D28" s="92"/>
      <c r="E28" s="10">
        <v>12529.994489204266</v>
      </c>
      <c r="F28" s="11" t="s">
        <v>3</v>
      </c>
      <c r="G28" s="1"/>
    </row>
    <row r="29" spans="1:7" x14ac:dyDescent="0.25">
      <c r="A29" s="1"/>
      <c r="B29" s="43" t="s">
        <v>11</v>
      </c>
      <c r="C29" s="44"/>
      <c r="D29" s="44"/>
      <c r="E29" s="44"/>
      <c r="F29" s="22"/>
      <c r="G29" s="1"/>
    </row>
    <row r="30" spans="1:7" x14ac:dyDescent="0.25">
      <c r="A30" s="1"/>
      <c r="B30" s="93" t="s">
        <v>19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43" t="s">
        <v>24</v>
      </c>
      <c r="C31" s="44"/>
      <c r="D31" s="44"/>
      <c r="E31" s="12">
        <f>SUM(E30,E28,E26,E20,E24)</f>
        <v>149687126.78698903</v>
      </c>
      <c r="F31" s="13" t="s">
        <v>3</v>
      </c>
      <c r="G31" s="1"/>
    </row>
    <row r="32" spans="1:7" ht="27" customHeight="1" x14ac:dyDescent="0.25">
      <c r="A32" s="1"/>
      <c r="B32" s="78" t="s">
        <v>209</v>
      </c>
      <c r="C32" s="79"/>
      <c r="D32" s="79"/>
      <c r="E32" s="79"/>
      <c r="F32" s="8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pl/RPbLQak2Ax+fjfnL48MxFa3gDoBIs0PAnFLOIlMHdfcqPmNt/8ByIHPhowFs0HixdbJk8HR687cu8cvW7Q==" saltValue="DUASlcmkX3YfTtZsLtV7lw==" spinCount="100000" sheet="1" objects="1" scenarios="1"/>
  <mergeCells count="22"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  <mergeCell ref="B21:F21"/>
    <mergeCell ref="B22:D22"/>
    <mergeCell ref="B23:D23"/>
    <mergeCell ref="B24:D24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75" t="s">
        <v>94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40493772.949501909</v>
      </c>
      <c r="H5" s="14" t="s">
        <v>3</v>
      </c>
      <c r="I5" s="1"/>
    </row>
    <row r="6" spans="1:9" x14ac:dyDescent="0.25">
      <c r="A6" s="1"/>
      <c r="B6" s="78" t="s">
        <v>253</v>
      </c>
      <c r="C6" s="79"/>
      <c r="D6" s="79"/>
      <c r="E6" s="79"/>
      <c r="F6" s="80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809875.45899003826</v>
      </c>
      <c r="H7" s="14" t="s">
        <v>3</v>
      </c>
      <c r="I7" s="1"/>
    </row>
    <row r="8" spans="1:9" x14ac:dyDescent="0.25">
      <c r="A8" s="1"/>
      <c r="B8" s="43"/>
      <c r="C8" s="44"/>
      <c r="D8" s="44"/>
      <c r="E8" s="44"/>
      <c r="F8" s="44"/>
      <c r="G8" s="44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75" t="s">
        <v>95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40378365.696595833</v>
      </c>
      <c r="H11" s="14" t="s">
        <v>3</v>
      </c>
      <c r="I11" s="1"/>
    </row>
    <row r="12" spans="1:9" x14ac:dyDescent="0.25">
      <c r="A12" s="1"/>
      <c r="B12" s="102" t="s">
        <v>256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25">
      <c r="A13" s="1"/>
      <c r="B13" s="78" t="s">
        <v>250</v>
      </c>
      <c r="C13" s="79"/>
      <c r="D13" s="79"/>
      <c r="E13" s="79"/>
      <c r="F13" s="80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0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807567.31393191672</v>
      </c>
      <c r="H15" s="14" t="s">
        <v>3</v>
      </c>
      <c r="I15" s="1"/>
    </row>
    <row r="16" spans="1:9" x14ac:dyDescent="0.25">
      <c r="A16" s="1"/>
      <c r="B16" s="43"/>
      <c r="C16" s="44"/>
      <c r="D16" s="44"/>
      <c r="E16" s="44"/>
      <c r="F16" s="44"/>
      <c r="G16" s="44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75" t="s">
        <v>96</v>
      </c>
      <c r="C18" s="76"/>
      <c r="D18" s="76"/>
      <c r="E18" s="76"/>
      <c r="F18" s="76"/>
      <c r="G18" s="76"/>
      <c r="H18" s="77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40263287.354360536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0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805265.74708721077</v>
      </c>
      <c r="H21" s="14" t="s">
        <v>3</v>
      </c>
      <c r="I21" s="1"/>
    </row>
    <row r="22" spans="1:9" x14ac:dyDescent="0.25">
      <c r="A22" s="1"/>
      <c r="B22" s="43"/>
      <c r="C22" s="44"/>
      <c r="D22" s="44"/>
      <c r="E22" s="44"/>
      <c r="F22" s="44"/>
      <c r="G22" s="44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75" t="s">
        <v>97</v>
      </c>
      <c r="C24" s="76"/>
      <c r="D24" s="76"/>
      <c r="E24" s="76"/>
      <c r="F24" s="76"/>
      <c r="G24" s="76"/>
      <c r="H24" s="77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40148536.98540061</v>
      </c>
      <c r="H25" s="14" t="s">
        <v>3</v>
      </c>
      <c r="I25" s="1"/>
    </row>
    <row r="26" spans="1:9" x14ac:dyDescent="0.2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802970.7397080122</v>
      </c>
      <c r="H28" s="14" t="s">
        <v>3</v>
      </c>
      <c r="I28" s="1"/>
    </row>
    <row r="29" spans="1:9" x14ac:dyDescent="0.25">
      <c r="A29" s="1"/>
      <c r="B29" s="43"/>
      <c r="C29" s="44"/>
      <c r="D29" s="44"/>
      <c r="E29" s="44"/>
      <c r="F29" s="44"/>
      <c r="G29" s="4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75" t="s">
        <v>100</v>
      </c>
      <c r="C31" s="76"/>
      <c r="D31" s="76"/>
      <c r="E31" s="76"/>
      <c r="F31" s="76"/>
      <c r="G31" s="76"/>
      <c r="H31" s="77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40034113.654992223</v>
      </c>
      <c r="H32" s="14" t="s">
        <v>3</v>
      </c>
      <c r="I32" s="1"/>
    </row>
    <row r="33" spans="1:9" x14ac:dyDescent="0.2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800682.27309984446</v>
      </c>
      <c r="H36" s="14" t="s">
        <v>3</v>
      </c>
      <c r="I36" s="1"/>
    </row>
    <row r="37" spans="1:9" x14ac:dyDescent="0.25">
      <c r="A37" s="1"/>
      <c r="B37" s="43"/>
      <c r="C37" s="44"/>
      <c r="D37" s="44"/>
      <c r="E37" s="44"/>
      <c r="F37" s="44"/>
      <c r="G37" s="44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75" t="s">
        <v>127</v>
      </c>
      <c r="C39" s="76"/>
      <c r="D39" s="76"/>
      <c r="E39" s="76"/>
      <c r="F39" s="76"/>
      <c r="G39" s="76"/>
      <c r="H39" s="77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40006329.98011566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800126.59960231325</v>
      </c>
      <c r="H42" s="14" t="s">
        <v>3</v>
      </c>
      <c r="I42" s="1"/>
    </row>
    <row r="43" spans="1:9" x14ac:dyDescent="0.25">
      <c r="A43" s="1"/>
      <c r="B43" s="43"/>
      <c r="C43" s="44"/>
      <c r="D43" s="44"/>
      <c r="E43" s="44"/>
      <c r="F43" s="44"/>
      <c r="G43" s="44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75" t="s">
        <v>128</v>
      </c>
      <c r="C45" s="76"/>
      <c r="D45" s="76"/>
      <c r="E45" s="76"/>
      <c r="F45" s="76"/>
      <c r="G45" s="76"/>
      <c r="H45" s="77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39978565.587109461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799571.31174218922</v>
      </c>
      <c r="H48" s="14" t="s">
        <v>3</v>
      </c>
      <c r="I48" s="1"/>
    </row>
    <row r="49" spans="1:9" x14ac:dyDescent="0.25">
      <c r="A49" s="1"/>
      <c r="B49" s="43"/>
      <c r="C49" s="44"/>
      <c r="D49" s="44"/>
      <c r="E49" s="44"/>
      <c r="F49" s="44"/>
      <c r="G49" s="44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NzO9eTAO3y5TijAtLm9CcdiZgvrvCrlyBjU0M1pRzsshTykSgZuIoYGOUnIkJCkPCVSgYj7HX2cqAGThnn9og==" saltValue="Kg4rVmR+tcis2K7cZTQ9HA==" spinCount="100000" sheet="1" objects="1" scenarios="1"/>
  <mergeCells count="34">
    <mergeCell ref="B12:F12"/>
    <mergeCell ref="B1:H3"/>
    <mergeCell ref="B4:H4"/>
    <mergeCell ref="B5:F5"/>
    <mergeCell ref="B7:F7"/>
    <mergeCell ref="B11:F11"/>
    <mergeCell ref="B10:H10"/>
    <mergeCell ref="B6:F6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75" t="s">
        <v>98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99934720.347025573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909405.95515793271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75" t="s">
        <v>106</v>
      </c>
      <c r="C9" s="76"/>
      <c r="D9" s="76"/>
      <c r="E9" s="76"/>
      <c r="F9" s="76"/>
      <c r="G9" s="76"/>
      <c r="H9" s="77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100758257.39372534</v>
      </c>
      <c r="H10" s="14" t="s">
        <v>3</v>
      </c>
      <c r="I10" s="1"/>
    </row>
    <row r="11" spans="1:9" x14ac:dyDescent="0.25">
      <c r="A11" s="1"/>
      <c r="B11" s="102" t="s">
        <v>257</v>
      </c>
      <c r="C11" s="103"/>
      <c r="D11" s="103"/>
      <c r="E11" s="103"/>
      <c r="F11" s="104"/>
      <c r="G11" s="26">
        <v>-261085.50452269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1778799.9424388867</v>
      </c>
      <c r="H13" s="14" t="s">
        <v>3</v>
      </c>
      <c r="I13" s="1"/>
    </row>
    <row r="14" spans="1:9" x14ac:dyDescent="0.25">
      <c r="A14" s="1"/>
      <c r="B14" s="43"/>
      <c r="C14" s="44"/>
      <c r="D14" s="44"/>
      <c r="E14" s="44"/>
      <c r="F14" s="44"/>
      <c r="G14" s="4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75" t="s">
        <v>110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100445943.45583212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1169522.9045985297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1788068.0484382357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75" t="s">
        <v>114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101573682.17361909</v>
      </c>
      <c r="H23" s="14" t="s">
        <v>3</v>
      </c>
      <c r="I23" s="1"/>
    </row>
    <row r="24" spans="1:9" x14ac:dyDescent="0.2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1178941.0374635742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1078835.5987398003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1817882.6361400962</v>
      </c>
      <c r="H26" s="14" t="s">
        <v>3</v>
      </c>
      <c r="I26" s="1"/>
    </row>
    <row r="27" spans="1:9" x14ac:dyDescent="0.25">
      <c r="A27" s="1"/>
      <c r="B27" s="43"/>
      <c r="C27" s="44"/>
      <c r="D27" s="44"/>
      <c r="E27" s="44"/>
      <c r="F27" s="44"/>
      <c r="G27" s="44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75" t="s">
        <v>118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102600846.07322139</v>
      </c>
      <c r="H30" s="14" t="s">
        <v>3</v>
      </c>
      <c r="I30" s="1"/>
    </row>
    <row r="31" spans="1:9" x14ac:dyDescent="0.2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1188435.0142700372</v>
      </c>
      <c r="H31" s="14" t="s">
        <v>3</v>
      </c>
      <c r="I31" s="1"/>
    </row>
    <row r="32" spans="1:9" x14ac:dyDescent="0.2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1068846.1420899811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1816775.7140879512</v>
      </c>
      <c r="H34" s="14" t="s">
        <v>3</v>
      </c>
      <c r="I34" s="1"/>
    </row>
    <row r="35" spans="1:9" x14ac:dyDescent="0.25">
      <c r="A35" s="1"/>
      <c r="B35" s="43"/>
      <c r="C35" s="44"/>
      <c r="D35" s="44"/>
      <c r="E35" s="44"/>
      <c r="F35" s="44"/>
      <c r="G35" s="4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75" t="s">
        <v>129</v>
      </c>
      <c r="C37" s="76"/>
      <c r="D37" s="76"/>
      <c r="E37" s="76"/>
      <c r="F37" s="76"/>
      <c r="G37" s="76"/>
      <c r="H37" s="77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102769516.54520836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2918654.2698839176</v>
      </c>
      <c r="H40" s="14" t="s">
        <v>3</v>
      </c>
      <c r="I40" s="1"/>
    </row>
    <row r="41" spans="1:9" x14ac:dyDescent="0.25">
      <c r="A41" s="1"/>
      <c r="B41" s="43"/>
      <c r="C41" s="44"/>
      <c r="D41" s="44"/>
      <c r="E41" s="44"/>
      <c r="F41" s="44"/>
      <c r="G41" s="4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75" t="s">
        <v>130</v>
      </c>
      <c r="C43" s="76"/>
      <c r="D43" s="76"/>
      <c r="E43" s="76"/>
      <c r="F43" s="76"/>
      <c r="G43" s="76"/>
      <c r="H43" s="77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101817924.26214835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2891629.0490450133</v>
      </c>
      <c r="H46" s="14" t="s">
        <v>3</v>
      </c>
      <c r="I46" s="1"/>
    </row>
    <row r="47" spans="1:9" x14ac:dyDescent="0.25">
      <c r="A47" s="1"/>
      <c r="B47" s="43"/>
      <c r="C47" s="44"/>
      <c r="D47" s="44"/>
      <c r="E47" s="44"/>
      <c r="F47" s="44"/>
      <c r="G47" s="4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1RbB6Cg/JMScaOcZYYku0bxhmlAt9W8nlLgv9UbQVYwZoyqNuSzCxVxBOFc+JH9fueHk0s9BX9E8pX2W/EXTQ==" saltValue="Hch0+HEZ7CnHsaUdLn4HkA==" spinCount="100000" sheet="1" objects="1" scenarios="1"/>
  <mergeCells count="32"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2.6407336322698781E-3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2"/>
      <c r="I11" s="1"/>
    </row>
    <row r="12" spans="1:9" ht="40.5" customHeight="1" x14ac:dyDescent="0.25">
      <c r="A12" s="1"/>
      <c r="B12" s="78" t="s">
        <v>212</v>
      </c>
      <c r="C12" s="79"/>
      <c r="D12" s="79"/>
      <c r="E12" s="79"/>
      <c r="F12" s="79"/>
      <c r="G12" s="79"/>
      <c r="H12" s="80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FHh0/+R8HY178YoUJmiDU1OlFCiGqkAJWd+wpcE4zO15alwgQNXhabdG9Nt12L7XzpHpP5PCUe0GAJ5aYx6GQ==" saltValue="VsZWufaVOQ7isQlmB0nhS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2019-09-10T08:04:27Z</dcterms:modified>
</cp:coreProperties>
</file>