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FREDERICIA SPILDEVAND OG ENERGI AS (S023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aktivitet" sheetId="29" r:id="rId17"/>
    <sheet name="Fane 13. Bortfald" sheetId="21" r:id="rId18"/>
    <sheet name="Fane 14. Hist. over-underdæk." sheetId="10" r:id="rId19"/>
    <sheet name="Fane 15. Nøgletal" sheetId="26" r:id="rId20"/>
  </sheets>
  <calcPr calcId="162913"/>
</workbook>
</file>

<file path=xl/calcChain.xml><?xml version="1.0" encoding="utf-8"?>
<calcChain xmlns="http://schemas.openxmlformats.org/spreadsheetml/2006/main">
  <c r="E19" i="40" l="1"/>
  <c r="E16" i="40" l="1"/>
  <c r="E12" i="40"/>
  <c r="E10" i="11" l="1"/>
  <c r="C11" i="2" l="1"/>
  <c r="C11" i="15" s="1"/>
  <c r="C10" i="2"/>
  <c r="C10" i="15" s="1"/>
  <c r="G7" i="30" l="1"/>
  <c r="E23" i="27" l="1"/>
  <c r="E24" i="27" s="1"/>
  <c r="E29" i="20" l="1"/>
  <c r="E23" i="20"/>
  <c r="E17" i="20"/>
  <c r="E11" i="20"/>
  <c r="E21" i="32" l="1"/>
  <c r="E12" i="32"/>
  <c r="E26" i="32" l="1"/>
  <c r="E20" i="40" l="1"/>
  <c r="C34" i="2" s="1"/>
  <c r="E28" i="20"/>
  <c r="E16" i="20"/>
  <c r="E22" i="20"/>
  <c r="E24" i="20" s="1"/>
  <c r="C19" i="22" s="1"/>
  <c r="E10" i="20"/>
  <c r="E12" i="20" s="1"/>
  <c r="E18" i="20" l="1"/>
  <c r="C24" i="15" s="1"/>
  <c r="C26" i="2"/>
  <c r="E30" i="20"/>
  <c r="C19" i="23" s="1"/>
  <c r="E29" i="21" l="1"/>
  <c r="E30" i="21" s="1"/>
  <c r="G45" i="36" s="1"/>
  <c r="C29" i="21"/>
  <c r="C30" i="21" s="1"/>
  <c r="G47" i="30" s="1"/>
  <c r="E23" i="21"/>
  <c r="E24" i="21" s="1"/>
  <c r="G39" i="36" s="1"/>
  <c r="C23" i="21"/>
  <c r="C24" i="21" s="1"/>
  <c r="C9" i="22" s="1"/>
  <c r="E17" i="21"/>
  <c r="E18" i="21" s="1"/>
  <c r="G33" i="36" s="1"/>
  <c r="C17" i="21"/>
  <c r="C18" i="21" s="1"/>
  <c r="G35" i="30" s="1"/>
  <c r="G41" i="30" l="1"/>
  <c r="C10" i="23"/>
  <c r="C10" i="22"/>
  <c r="C14" i="15"/>
  <c r="C9" i="23"/>
  <c r="C15" i="15"/>
  <c r="E35" i="39"/>
  <c r="C35" i="39"/>
  <c r="E27" i="39"/>
  <c r="C27" i="39"/>
  <c r="E19" i="39"/>
  <c r="C19" i="39"/>
  <c r="E11" i="39"/>
  <c r="C11" i="39"/>
  <c r="E13" i="39" l="1"/>
  <c r="E12" i="39"/>
  <c r="C21" i="39"/>
  <c r="C20" i="39"/>
  <c r="C22" i="39" s="1"/>
  <c r="C26" i="15" s="1"/>
  <c r="C37" i="39"/>
  <c r="C36" i="39"/>
  <c r="C38" i="39" s="1"/>
  <c r="C21" i="23" s="1"/>
  <c r="E21" i="39"/>
  <c r="E20" i="39"/>
  <c r="E37" i="39"/>
  <c r="E36" i="39"/>
  <c r="C13" i="39"/>
  <c r="C12" i="39"/>
  <c r="C29" i="39"/>
  <c r="C28" i="39"/>
  <c r="C30" i="39" s="1"/>
  <c r="C21" i="22" s="1"/>
  <c r="E29" i="39"/>
  <c r="E28" i="39"/>
  <c r="E22" i="39" l="1"/>
  <c r="C27" i="15" s="1"/>
  <c r="E30" i="39"/>
  <c r="C22" i="22" s="1"/>
  <c r="C23" i="22" s="1"/>
  <c r="E38" i="39"/>
  <c r="C22" i="23" s="1"/>
  <c r="C23" i="23" s="1"/>
  <c r="E14" i="39"/>
  <c r="C29" i="2" s="1"/>
  <c r="C14" i="39"/>
  <c r="C28" i="2" s="1"/>
  <c r="G12" i="10"/>
  <c r="G14" i="10" s="1"/>
  <c r="C28" i="15" l="1"/>
  <c r="C30" i="2"/>
  <c r="G24" i="36"/>
  <c r="G31" i="36" s="1"/>
  <c r="G26" i="30"/>
  <c r="G33" i="30" s="1"/>
  <c r="G6" i="36" l="1"/>
  <c r="G10" i="36" l="1"/>
  <c r="G13" i="36" l="1"/>
  <c r="G17" i="36" s="1"/>
  <c r="G23" i="36" s="1"/>
  <c r="G11" i="30"/>
  <c r="G15" i="30" l="1"/>
  <c r="G19" i="30" s="1"/>
  <c r="G25" i="30" s="1"/>
  <c r="G19" i="36"/>
  <c r="E19" i="27" s="1"/>
  <c r="G21" i="30" l="1"/>
  <c r="E18" i="27" s="1"/>
  <c r="E16" i="27" l="1"/>
  <c r="E17" i="27" s="1"/>
  <c r="E20" i="27" l="1"/>
  <c r="E31" i="27" s="1"/>
  <c r="C9" i="2" l="1"/>
  <c r="E28" i="32"/>
  <c r="C25" i="22" s="1"/>
  <c r="C25" i="23" l="1"/>
  <c r="F11" i="11" l="1"/>
  <c r="C10" i="37" s="1"/>
  <c r="C13" i="37" s="1"/>
  <c r="C14" i="37" s="1"/>
  <c r="C12" i="2" s="1"/>
  <c r="G11" i="11"/>
  <c r="E11" i="21" l="1"/>
  <c r="C11" i="21"/>
  <c r="E11" i="29"/>
  <c r="C11" i="29"/>
  <c r="C15" i="19"/>
  <c r="C16" i="19" s="1"/>
  <c r="E12" i="29" l="1"/>
  <c r="C17" i="2" s="1"/>
  <c r="C12" i="29"/>
  <c r="C16" i="2" s="1"/>
  <c r="C12" i="21"/>
  <c r="C14" i="2" s="1"/>
  <c r="E12" i="21"/>
  <c r="C15" i="2" s="1"/>
  <c r="C17" i="22"/>
  <c r="C22" i="15"/>
  <c r="C24" i="2"/>
  <c r="C17" i="23"/>
  <c r="C12" i="15" l="1"/>
  <c r="G27" i="30"/>
  <c r="G34" i="30" l="1"/>
  <c r="G32" i="30"/>
  <c r="G36" i="30" s="1"/>
  <c r="G40" i="30" s="1"/>
  <c r="G28" i="30"/>
  <c r="C20" i="2" s="1"/>
  <c r="E11" i="11" l="1"/>
  <c r="E10" i="37" s="1"/>
  <c r="E13" i="37" s="1"/>
  <c r="E14" i="37" s="1"/>
  <c r="C13" i="2" s="1"/>
  <c r="C13" i="15" s="1"/>
  <c r="C32" i="2"/>
  <c r="G25" i="36" l="1"/>
  <c r="G30" i="36" s="1"/>
  <c r="C18" i="2"/>
  <c r="C19" i="2" s="1"/>
  <c r="C18" i="15"/>
  <c r="G32" i="36" l="1"/>
  <c r="G26" i="36"/>
  <c r="G42" i="30"/>
  <c r="G34" i="36" l="1"/>
  <c r="C13" i="22"/>
  <c r="G38" i="36" l="1"/>
  <c r="G40" i="36" s="1"/>
  <c r="G46" i="30"/>
  <c r="C21" i="2"/>
  <c r="C22" i="2" l="1"/>
  <c r="G48" i="30"/>
  <c r="C13" i="23" s="1"/>
  <c r="G44" i="36"/>
  <c r="G46" i="36" s="1"/>
  <c r="C35" i="2" l="1"/>
  <c r="C9" i="15"/>
  <c r="C16" i="15" s="1"/>
  <c r="C19" i="15"/>
  <c r="C14" i="22"/>
  <c r="C17" i="15" l="1"/>
  <c r="C20" i="15" l="1"/>
  <c r="C14" i="23"/>
  <c r="C29" i="15" l="1"/>
  <c r="C8" i="22"/>
  <c r="C11" i="22" s="1"/>
  <c r="C12" i="22" l="1"/>
  <c r="C15" i="22" s="1"/>
  <c r="C26" i="22" s="1"/>
  <c r="C8" i="23" l="1"/>
  <c r="C11" i="23" s="1"/>
  <c r="C12" i="23" s="1"/>
  <c r="C15" i="23" l="1"/>
  <c r="C26" i="23" s="1"/>
</calcChain>
</file>

<file path=xl/sharedStrings.xml><?xml version="1.0" encoding="utf-8"?>
<sst xmlns="http://schemas.openxmlformats.org/spreadsheetml/2006/main" count="698" uniqueCount="277">
  <si>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</si>
  <si>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</si>
  <si>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</si>
  <si>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</si>
  <si>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</si>
  <si>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</si>
  <si>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</si>
  <si>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</si>
  <si>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</si>
  <si>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</si>
  <si>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</si>
  <si>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</si>
  <si>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</si>
  <si>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</si>
  <si>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</si>
  <si>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</si>
  <si>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</si>
  <si>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</si>
  <si>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</si>
  <si>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</si>
  <si>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</si>
  <si>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</si>
  <si>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</si>
  <si>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</si>
  <si>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</si>
  <si>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</si>
  <si>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</si>
  <si>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</si>
  <si>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</si>
  <si>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</si>
  <si>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</si>
  <si>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</si>
  <si>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</si>
  <si>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</si>
  <si>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</si>
  <si>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</si>
  <si>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</si>
  <si>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</si>
  <si>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</si>
  <si>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</si>
  <si>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</si>
  <si>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</si>
  <si>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</si>
  <si>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</si>
  <si>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</si>
  <si>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</si>
  <si>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</si>
  <si>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</si>
  <si>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</si>
  <si>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</si>
  <si>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</si>
  <si>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</si>
  <si>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Samlet økonomisk ramme for 2020</t>
  </si>
  <si>
    <t>Fane 2.4</t>
  </si>
  <si>
    <t>Samlet økonomisk ramme for 2021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</si>
  <si>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</si>
  <si>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</si>
  <si>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</si>
  <si>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</si>
  <si>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</si>
  <si>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</si>
  <si>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</si>
  <si>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</si>
  <si>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</si>
  <si>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</si>
  <si>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</si>
  <si>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</si>
  <si>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</si>
  <si>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</si>
  <si>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</si>
  <si>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</si>
  <si>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</si>
  <si>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</si>
  <si>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</si>
  <si>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</si>
  <si>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</si>
  <si>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</si>
  <si>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</si>
  <si>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</si>
  <si>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</si>
  <si>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</si>
  <si>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</si>
  <si>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</si>
  <si>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</si>
  <si>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</si>
  <si>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</si>
  <si>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</si>
  <si>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</si>
  <si>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</si>
  <si>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</si>
  <si>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</si>
  <si>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</si>
  <si>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</si>
  <si>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</si>
  <si>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</si>
  <si>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</si>
  <si>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</si>
  <si>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</si>
  <si>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</si>
  <si>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</si>
  <si>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</si>
  <si>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</si>
  <si>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</si>
  <si>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</si>
  <si>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</si>
  <si>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</si>
  <si>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</si>
  <si>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</si>
  <si>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</si>
  <si>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</si>
  <si>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</si>
  <si>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</si>
  <si>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</si>
  <si>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</si>
  <si>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</si>
  <si>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</si>
  <si>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</si>
  <si>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</si>
  <si>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</si>
  <si>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</si>
  <si>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</si>
  <si>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</si>
  <si>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</si>
  <si>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</si>
  <si>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</si>
  <si>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</si>
  <si>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</si>
  <si>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</si>
  <si>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</si>
  <si>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</si>
  <si>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</si>
  <si>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</si>
  <si>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</si>
  <si>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</si>
  <si>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</si>
  <si>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</si>
  <si>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</si>
  <si>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</si>
  <si>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</si>
  <si>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</si>
  <si>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</si>
  <si>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</si>
  <si>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</si>
  <si>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</si>
  <si>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Periodevise driftsomkostninger i alt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</si>
  <si>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</si>
  <si>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</si>
  <si>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</si>
  <si>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</si>
  <si>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</si>
  <si>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</si>
  <si>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</si>
  <si>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</si>
  <si>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</si>
  <si>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</si>
  <si>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</si>
  <si>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</si>
  <si>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i alt i 2018-prisniveau</t>
  </si>
  <si>
    <t>Periodevise driftsomkostninger til de økonomiske rammer for 2020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</si>
  <si>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</si>
  <si>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</si>
  <si>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</si>
  <si>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2020-prisniveau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</si>
  <si>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</si>
  <si>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</si>
  <si>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</si>
  <si>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</si>
  <si>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</si>
  <si>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</si>
  <si>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</si>
  <si>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</si>
  <si>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</si>
  <si>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15</t>
  </si>
  <si>
    <t>Kontrol af den økonomiske ramme for 2018</t>
  </si>
  <si>
    <t>Korrektion af periodevise driftsomkostninger i de økonomiske rammer for 2018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</si>
  <si>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</si>
  <si>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</si>
  <si>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</si>
  <si>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</si>
  <si>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</si>
  <si>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</si>
  <si>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</si>
  <si>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</si>
  <si>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</si>
  <si>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</si>
  <si>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</si>
  <si>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</si>
  <si>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</si>
  <si>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</si>
  <si>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</si>
  <si>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</si>
  <si>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</si>
  <si>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Tillæg til tilbagebetaling af vejbidrag</t>
  </si>
  <si>
    <t>Tillæg til den økonomiske ramme for 2020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</si>
  <si>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</si>
  <si>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</si>
  <si>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</si>
  <si>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</si>
  <si>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Faktisk periodevis driftsomkostning i 2018</t>
  </si>
  <si>
    <t>Difference (Korrektion)</t>
  </si>
  <si>
    <t>Antal år i næste reguleringsperiode</t>
  </si>
  <si>
    <t>Til indregning i de økonomiske rammer for 2022-2025</t>
  </si>
  <si>
    <t>Individuelt effektiviseringskrav til de økonomiske rammer for 2018-2021</t>
  </si>
  <si>
    <t>Generelt effektiviseringskrav til driftsomkostningerne</t>
  </si>
  <si>
    <t>Generelt effektiviseringskrav til anlægsomkostningerne</t>
  </si>
  <si>
    <t xml:space="preserve"> - Heraf nye omkostninger i ØR19 - Drift</t>
  </si>
  <si>
    <t xml:space="preserve"> - Heraf nye omkostninger i ØR19 - Anlæg</t>
  </si>
  <si>
    <t>Nøgletal</t>
  </si>
  <si>
    <t>Fane 15: Nøgletal</t>
  </si>
  <si>
    <t xml:space="preserve">Note: Denne opgørelse er taget fra jeres statusmeddelelse for den økonomiske ramme for 2019. I kan derfor ikke komme med høringssvar til denne opgørelse. </t>
  </si>
  <si>
    <t>Fradrag i den økonomiske ramme for 2022-2025 i alt</t>
  </si>
  <si>
    <t>Fradrag for kontrol med overholdelse af indtægtsrammen</t>
  </si>
  <si>
    <t xml:space="preserve">Note: Beregningerne af jeres individuelle effektiviseringskrav er taget fra jeres afgørelse til den økonomiske ramme for henholdsvis 2017 og 2018-2021. I kan derfor ikke komme med høringssvar til denne opgørelse. </t>
  </si>
  <si>
    <t xml:space="preserve"> - Heraf nye omkostninger i ØR20 - Drift</t>
  </si>
  <si>
    <t>Til statusmeddelelse for 2020 og 2021</t>
  </si>
  <si>
    <t>Fane 2.3: Samlet økonomisk ramme for 2022</t>
  </si>
  <si>
    <t>Fane 2.4: Samlet økonomisk ramme for 2023</t>
  </si>
  <si>
    <t xml:space="preserve"> - Heraf nye omkostninger i ØR20 - Anlæg</t>
  </si>
  <si>
    <t>Tidligere godkendt tillæg indregnet i den økonomiske ramme for 2018</t>
  </si>
  <si>
    <t>Faktisk omkostning til medfinansiering af klimatilpasningsprojekter i 2018</t>
  </si>
  <si>
    <t>Videreførte omkostninger fra den økonomiske ramme for 2022</t>
  </si>
  <si>
    <t>Fane 4.1</t>
  </si>
  <si>
    <t>Fane 4.2</t>
  </si>
  <si>
    <t>Fane 6</t>
  </si>
  <si>
    <t>Fane 10.1</t>
  </si>
  <si>
    <t>Fane 10.2</t>
  </si>
  <si>
    <t>Fane 11</t>
  </si>
  <si>
    <t>Fane 13: Bortfald eller nedsættelse af omkostninger til mål, medfinansiering eller udvidelse</t>
  </si>
  <si>
    <t>Fane 14: Historisk over- eller underdækning</t>
  </si>
  <si>
    <t>Fane 12: Tilknyttet aktivitet under hovedvirksomheden</t>
  </si>
  <si>
    <t>Fane 10.2: Engangstillæg</t>
  </si>
  <si>
    <t>Fane 10.1: Varige tillæg</t>
  </si>
  <si>
    <t>Fane 7: Kontrol med overholdelse af den økonomiske ramme for 2018</t>
  </si>
  <si>
    <t>Fane 6: Ikke-påvirkelige omkostninger</t>
  </si>
  <si>
    <t>Fane 4.2: Generelt effektiviseringskrav til anlægsomkostningerne</t>
  </si>
  <si>
    <t>Fane 4.1: Generelt effektiviseringskrav til driftsomkostningerne</t>
  </si>
  <si>
    <t>Prisudvikling til brug for ØR2017</t>
  </si>
  <si>
    <t>Prisudvikling til brug for ØR2018-2021</t>
  </si>
  <si>
    <t>Generelt effektiviseringskrav til brug for anlægsomkostninger i ØR2017</t>
  </si>
  <si>
    <t>Generelt effektiviseringskrav til brug for nye anlægsomkostninger i ØR2019</t>
  </si>
  <si>
    <t>Generelt effektiviseringskrav til brug for anlægsomkostninger i ØR2018-2021</t>
  </si>
  <si>
    <t>Generelt effektiviseringskrav til brug for nye anlægsomkostninger i ØR2020</t>
  </si>
  <si>
    <t>Generelt effektiviseringskrav til brug for driftsomkostninger</t>
  </si>
  <si>
    <t>Fane 11: Periodevise driftsomkostninger givet under prisloftsbekendtgørelsen</t>
  </si>
  <si>
    <t>Tillæg til medfinansieringsprojekter godkendt under prisloftsbekendtgørelsen</t>
  </si>
  <si>
    <t>-Heraf nye anlægsomkostninger til de økonomiske rammer for 2019</t>
  </si>
  <si>
    <t>- Heraf nye anlægsomkostninger til de økonomiske rammer for 2019</t>
  </si>
  <si>
    <t>- Heraf nye anlægsomkostninger til de økonomiske rammer for 2020</t>
  </si>
  <si>
    <t>- Heraf nye driftsomkostninger til de økonomiske rammer for 2019</t>
  </si>
  <si>
    <t>- Heraf nye driftsomkostninger til de økonomiske rammer for 2020</t>
  </si>
  <si>
    <t>Periodevise driftsomkostninger i den økonomiske ramme for 2018</t>
  </si>
  <si>
    <t>Effektiviseringskrav af periodevise driftsomkostninger</t>
  </si>
  <si>
    <t>Periodevise driftsomkostninger i den økonomiske ramme for 2018 i alt</t>
  </si>
  <si>
    <t>Periodevise driftsomkostninger i den økonomiske ramme for 2017</t>
  </si>
  <si>
    <t>Fane 3: Videreførte omkostninger fra den økonomiske ramme for 2019</t>
  </si>
  <si>
    <t>Fane 3</t>
  </si>
  <si>
    <t>Korrektion af driftsomkostninger i grundlaget</t>
  </si>
  <si>
    <t>Korrektion af anlægsomkostninger i grundlaget</t>
  </si>
  <si>
    <t>Korrektion af tidligere rammer</t>
  </si>
  <si>
    <t>Tillæg/fradrag for korrektion af tidligere rammer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</si>
  <si>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</si>
  <si>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</si>
  <si>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</si>
  <si>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</si>
  <si>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</si>
  <si>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</si>
  <si>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Prisfremskrivning til 2017-prisniveau af korrektion af periodevise driftsomkostninger i de økonomiske rammer for 2019</t>
  </si>
  <si>
    <t>Spildevandsafgift</t>
  </si>
  <si>
    <t>Afgift til Forsyningssekretariatet</t>
  </si>
  <si>
    <t>Køb af ydelser og produkter fra andre vandselskaber reguleret af vandsektorloven</t>
  </si>
  <si>
    <t>Ejendomsskatter</t>
  </si>
  <si>
    <t>Erstatninger</t>
  </si>
  <si>
    <t>Bystrategiprojekt</t>
  </si>
  <si>
    <t>Udvidelse af forsyningsområdet</t>
  </si>
  <si>
    <t>Ingen engangstillæg</t>
  </si>
  <si>
    <t>Ø 200 mm &lt; Ledningsnet ≤ Ø 500 mm</t>
  </si>
  <si>
    <t>Anlægsprojekter igangsat senest 1. marts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</si>
</sst>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28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8" fillId="9" borderId="2" xfId="0" quotePrefix="1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49" fontId="8" fillId="9" borderId="2" xfId="0" applyNumberFormat="1" applyFont="1" applyFill="1" applyBorder="1" applyAlignment="1" applyProtection="1">
      <alignment horizontal="left" wrapText="1"/>
    </xf>
    <xf numFmtId="0" fontId="4" fillId="2" borderId="0" xfId="0" applyFont="1" applyFill="1" applyAlignment="1" applyProtection="1">
      <alignment horizontal="center" vertic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9" borderId="6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9" borderId="6" xfId="0" quotePrefix="1" applyFont="1" applyFill="1" applyBorder="1" applyAlignment="1" applyProtection="1">
      <alignment wrapText="1"/>
    </xf>
    <xf numFmtId="0" fontId="8" fillId="9" borderId="3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49" fontId="8" fillId="9" borderId="6" xfId="0" applyNumberFormat="1" applyFont="1" applyFill="1" applyBorder="1" applyAlignment="1" applyProtection="1">
      <alignment horizontal="left" wrapText="1"/>
    </xf>
    <xf numFmtId="49" fontId="8" fillId="9" borderId="3" xfId="0" applyNumberFormat="1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6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0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2" t="s">
        <v>4</v>
      </c>
      <c r="E6" s="52"/>
      <c r="F6" s="52"/>
      <c r="G6" s="52"/>
      <c r="H6" s="3"/>
      <c r="I6" s="1"/>
    </row>
    <row r="7" spans="1:9" ht="15" customHeight="1" x14ac:dyDescent="0.25">
      <c r="A7" s="1"/>
      <c r="B7" s="1"/>
      <c r="C7" s="3"/>
      <c r="D7" s="52"/>
      <c r="E7" s="52"/>
      <c r="F7" s="52"/>
      <c r="G7" s="52"/>
      <c r="H7" s="3"/>
      <c r="I7" s="1"/>
    </row>
    <row r="8" spans="1:9" ht="15.75" x14ac:dyDescent="0.25">
      <c r="A8" s="1"/>
      <c r="B8" s="1"/>
      <c r="C8" s="4"/>
      <c r="D8" s="57" t="s">
        <v>214</v>
      </c>
      <c r="E8" s="57"/>
      <c r="F8" s="57"/>
      <c r="G8" s="5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6" t="s">
        <v>5</v>
      </c>
      <c r="E11" s="56"/>
      <c r="F11" s="56"/>
      <c r="G11" s="5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8" t="s">
        <v>52</v>
      </c>
      <c r="E13" s="59"/>
      <c r="F13" s="59"/>
      <c r="G13" s="60"/>
      <c r="H13" s="1"/>
      <c r="I13" s="1"/>
    </row>
    <row r="14" spans="1:9" x14ac:dyDescent="0.25">
      <c r="A14" s="1"/>
      <c r="B14" s="1"/>
      <c r="C14" s="6" t="s">
        <v>23</v>
      </c>
      <c r="D14" s="58" t="s">
        <v>54</v>
      </c>
      <c r="E14" s="59"/>
      <c r="F14" s="59"/>
      <c r="G14" s="60"/>
      <c r="H14" s="1"/>
      <c r="I14" s="1"/>
    </row>
    <row r="15" spans="1:9" x14ac:dyDescent="0.25">
      <c r="A15" s="1"/>
      <c r="B15" s="1"/>
      <c r="C15" s="6" t="s">
        <v>51</v>
      </c>
      <c r="D15" s="58" t="s">
        <v>133</v>
      </c>
      <c r="E15" s="59"/>
      <c r="F15" s="59"/>
      <c r="G15" s="60"/>
      <c r="H15" s="1"/>
      <c r="I15" s="1"/>
    </row>
    <row r="16" spans="1:9" x14ac:dyDescent="0.25">
      <c r="A16" s="1"/>
      <c r="B16" s="1"/>
      <c r="C16" s="6" t="s">
        <v>53</v>
      </c>
      <c r="D16" s="58" t="s">
        <v>134</v>
      </c>
      <c r="E16" s="59"/>
      <c r="F16" s="59"/>
      <c r="G16" s="60"/>
      <c r="H16" s="1"/>
      <c r="I16" s="1"/>
    </row>
    <row r="17" spans="1:9" x14ac:dyDescent="0.25">
      <c r="A17" s="1"/>
      <c r="B17" s="1"/>
      <c r="C17" s="6" t="s">
        <v>255</v>
      </c>
      <c r="D17" s="58" t="s">
        <v>63</v>
      </c>
      <c r="E17" s="59"/>
      <c r="F17" s="59"/>
      <c r="G17" s="60"/>
      <c r="H17" s="1"/>
      <c r="I17" s="1"/>
    </row>
    <row r="18" spans="1:9" x14ac:dyDescent="0.25">
      <c r="A18" s="1"/>
      <c r="B18" s="1"/>
      <c r="C18" s="6" t="s">
        <v>221</v>
      </c>
      <c r="D18" s="61" t="s">
        <v>176</v>
      </c>
      <c r="E18" s="62"/>
      <c r="F18" s="62"/>
      <c r="G18" s="63"/>
      <c r="H18" s="1"/>
      <c r="I18" s="1"/>
    </row>
    <row r="19" spans="1:9" x14ac:dyDescent="0.25">
      <c r="A19" s="1"/>
      <c r="B19" s="1"/>
      <c r="C19" s="6" t="s">
        <v>222</v>
      </c>
      <c r="D19" s="61" t="s">
        <v>177</v>
      </c>
      <c r="E19" s="62"/>
      <c r="F19" s="62"/>
      <c r="G19" s="63"/>
      <c r="H19" s="1"/>
      <c r="I19" s="1"/>
    </row>
    <row r="20" spans="1:9" x14ac:dyDescent="0.25">
      <c r="A20" s="1"/>
      <c r="B20" s="1"/>
      <c r="C20" s="6" t="s">
        <v>7</v>
      </c>
      <c r="D20" s="61" t="s">
        <v>10</v>
      </c>
      <c r="E20" s="62"/>
      <c r="F20" s="62"/>
      <c r="G20" s="63"/>
      <c r="H20" s="1"/>
      <c r="I20" s="1"/>
    </row>
    <row r="21" spans="1:9" x14ac:dyDescent="0.25">
      <c r="A21" s="1"/>
      <c r="B21" s="1"/>
      <c r="C21" s="6" t="s">
        <v>223</v>
      </c>
      <c r="D21" s="67" t="s">
        <v>17</v>
      </c>
      <c r="E21" s="68"/>
      <c r="F21" s="68"/>
      <c r="G21" s="69"/>
      <c r="H21" s="1"/>
      <c r="I21" s="1"/>
    </row>
    <row r="22" spans="1:9" x14ac:dyDescent="0.25">
      <c r="A22" s="1"/>
      <c r="B22" s="1"/>
      <c r="C22" s="6" t="s">
        <v>140</v>
      </c>
      <c r="D22" s="53" t="s">
        <v>173</v>
      </c>
      <c r="E22" s="54"/>
      <c r="F22" s="54"/>
      <c r="G22" s="55"/>
      <c r="H22" s="1"/>
      <c r="I22" s="1"/>
    </row>
    <row r="23" spans="1:9" x14ac:dyDescent="0.25">
      <c r="A23" s="1"/>
      <c r="B23" s="1"/>
      <c r="C23" s="6" t="s">
        <v>8</v>
      </c>
      <c r="D23" s="53" t="s">
        <v>258</v>
      </c>
      <c r="E23" s="54"/>
      <c r="F23" s="54"/>
      <c r="G23" s="55"/>
      <c r="H23" s="1"/>
      <c r="I23" s="1"/>
    </row>
    <row r="24" spans="1:9" x14ac:dyDescent="0.25">
      <c r="A24" s="1"/>
      <c r="B24" s="1"/>
      <c r="C24" s="6" t="s">
        <v>9</v>
      </c>
      <c r="D24" s="53" t="s">
        <v>55</v>
      </c>
      <c r="E24" s="54"/>
      <c r="F24" s="54"/>
      <c r="G24" s="55"/>
      <c r="H24" s="1"/>
      <c r="I24" s="1"/>
    </row>
    <row r="25" spans="1:9" x14ac:dyDescent="0.25">
      <c r="A25" s="1"/>
      <c r="B25" s="1"/>
      <c r="C25" s="6" t="s">
        <v>224</v>
      </c>
      <c r="D25" s="53" t="s">
        <v>141</v>
      </c>
      <c r="E25" s="54"/>
      <c r="F25" s="54"/>
      <c r="G25" s="55"/>
      <c r="H25" s="1"/>
      <c r="I25" s="1"/>
    </row>
    <row r="26" spans="1:9" x14ac:dyDescent="0.25">
      <c r="A26" s="1"/>
      <c r="B26" s="1"/>
      <c r="C26" s="6" t="s">
        <v>225</v>
      </c>
      <c r="D26" s="53" t="s">
        <v>142</v>
      </c>
      <c r="E26" s="54"/>
      <c r="F26" s="54"/>
      <c r="G26" s="55"/>
      <c r="H26" s="1"/>
      <c r="I26" s="1"/>
    </row>
    <row r="27" spans="1:9" x14ac:dyDescent="0.25">
      <c r="A27" s="1"/>
      <c r="B27" s="1"/>
      <c r="C27" s="6" t="s">
        <v>226</v>
      </c>
      <c r="D27" s="53" t="s">
        <v>143</v>
      </c>
      <c r="E27" s="54"/>
      <c r="F27" s="54"/>
      <c r="G27" s="55"/>
      <c r="H27" s="1"/>
      <c r="I27" s="1"/>
    </row>
    <row r="28" spans="1:9" x14ac:dyDescent="0.25">
      <c r="A28" s="1"/>
      <c r="B28" s="1"/>
      <c r="C28" s="6" t="s">
        <v>22</v>
      </c>
      <c r="D28" s="53" t="s">
        <v>56</v>
      </c>
      <c r="E28" s="54"/>
      <c r="F28" s="54"/>
      <c r="G28" s="55"/>
      <c r="H28" s="1"/>
      <c r="I28" s="1"/>
    </row>
    <row r="29" spans="1:9" x14ac:dyDescent="0.25">
      <c r="A29" s="1"/>
      <c r="B29" s="1"/>
      <c r="C29" s="6" t="s">
        <v>58</v>
      </c>
      <c r="D29" s="53" t="s">
        <v>57</v>
      </c>
      <c r="E29" s="54"/>
      <c r="F29" s="54"/>
      <c r="G29" s="55"/>
      <c r="H29" s="1"/>
      <c r="I29" s="1"/>
    </row>
    <row r="30" spans="1:9" x14ac:dyDescent="0.25">
      <c r="A30" s="1"/>
      <c r="B30" s="1"/>
      <c r="C30" s="6" t="s">
        <v>59</v>
      </c>
      <c r="D30" s="70" t="s">
        <v>11</v>
      </c>
      <c r="E30" s="71"/>
      <c r="F30" s="71"/>
      <c r="G30" s="72"/>
      <c r="H30" s="1"/>
      <c r="I30" s="1"/>
    </row>
    <row r="31" spans="1:9" x14ac:dyDescent="0.25">
      <c r="A31" s="1"/>
      <c r="B31" s="1"/>
      <c r="C31" s="6" t="s">
        <v>172</v>
      </c>
      <c r="D31" s="64" t="s">
        <v>207</v>
      </c>
      <c r="E31" s="65"/>
      <c r="F31" s="65"/>
      <c r="G31" s="66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x77Y2dcbgXIbpIXLI1RyI7HNhdpqo2HRvU2vlImY1F8oDI60MFVhzXwWNTX0sJ/O/Kl6r0QvTxmuI5FHLwuYwA==" saltValue="sf9QNabwMUpweDvIk9eXlg==" spinCount="100000" sheet="1" objects="1" scenarios="1"/>
  <mergeCells count="22">
    <mergeCell ref="D31:G31"/>
    <mergeCell ref="D21:G21"/>
    <mergeCell ref="D24:G24"/>
    <mergeCell ref="D25:G25"/>
    <mergeCell ref="D28:G28"/>
    <mergeCell ref="D26:G26"/>
    <mergeCell ref="D27:G27"/>
    <mergeCell ref="D23:G23"/>
    <mergeCell ref="D30:G30"/>
    <mergeCell ref="D29:G29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14:G14"/>
  </mergeCells>
  <hyperlinks>
    <hyperlink ref="D14:G14" location="'Fane 2.2. Økonomisk ramme 2021'!A1" display="Samlet økonomisk ramme for 2021"/>
    <hyperlink ref="D25:G25" location="'Fane 10.1. Varige tillæg'!A1" display="Varige tillæg"/>
    <hyperlink ref="D28:G28" location="'Fane 12. Tilknyttet aktivitet'!A1" display="Tilknyttet aktivitet"/>
    <hyperlink ref="D29:G29" location="'Fane 13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1:G21" location="'Fane 6. Ikke-påvirkelige omk.'!A1" display="Ikke-påvirkelige omkostninger"/>
    <hyperlink ref="D22:G22" location="'Fane 7. Kontrol af ØR2018'!A1" display="Kontrol af den økonomiske ramme for 2018"/>
    <hyperlink ref="D24:G24" location="'Fane 9. Anlægsprojekter'!A1" display="Anlægsprojekter"/>
    <hyperlink ref="D31:G31" location="'Fane 15. Nøgletal'!A1" display="Nøgletal"/>
    <hyperlink ref="D17:G17" location="'Fane 3. Omkostninger i ØR2019'!A1" display="Omkostninger i ØR2019"/>
    <hyperlink ref="D26:G26" location="'Fane 10.2. Engangstillæg'!A1" display="Engangstillæg"/>
    <hyperlink ref="D27:G27" location="'Fane 11. Periodevise driftsomk.'!A1" display="Periodevise driftsomkostninger"/>
    <hyperlink ref="D19:G19" location="'Fane 4.2. Gen. krav - anlæg'!A1" display="Generelt effektiviseringskrav på anlæg"/>
    <hyperlink ref="D30:G30" location="'Fane 14. Hist. over-underdæk.'!A1" display="Historisk over- eller underdækning"/>
    <hyperlink ref="D20:G20" location="'Fane 5. Individuelt eff. krav'!A1" display="Individuelt effektiviseringskrav"/>
    <hyperlink ref="D18:G18" location="'Fane 4.1. Gen. krav - drift'!A1" display="Generelt effektiviseringskrav på drift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3" t="s">
        <v>233</v>
      </c>
      <c r="C3" s="73"/>
      <c r="D3" s="73"/>
      <c r="E3" s="1"/>
      <c r="F3" s="1"/>
    </row>
    <row r="4" spans="1:6" ht="15" customHeight="1" x14ac:dyDescent="0.25">
      <c r="A4" s="1"/>
      <c r="B4" s="73"/>
      <c r="C4" s="73"/>
      <c r="D4" s="73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3" t="s">
        <v>66</v>
      </c>
      <c r="C8" s="94"/>
      <c r="D8" s="95"/>
      <c r="E8" s="1"/>
      <c r="F8" s="1"/>
    </row>
    <row r="9" spans="1:6" ht="15" customHeight="1" x14ac:dyDescent="0.25">
      <c r="A9" s="1"/>
      <c r="B9" s="38" t="s">
        <v>49</v>
      </c>
      <c r="C9" s="11" t="s">
        <v>67</v>
      </c>
      <c r="D9" s="11"/>
      <c r="E9" s="1"/>
      <c r="F9" s="1"/>
    </row>
    <row r="10" spans="1:6" x14ac:dyDescent="0.25">
      <c r="A10" s="1"/>
      <c r="B10" s="47" t="s">
        <v>267</v>
      </c>
      <c r="C10" s="9">
        <v>2439716</v>
      </c>
      <c r="D10" s="14" t="s">
        <v>3</v>
      </c>
      <c r="E10" s="1"/>
      <c r="F10" s="1"/>
    </row>
    <row r="11" spans="1:6" x14ac:dyDescent="0.25">
      <c r="A11" s="1"/>
      <c r="B11" s="47" t="s">
        <v>268</v>
      </c>
      <c r="C11" s="9">
        <v>86829</v>
      </c>
      <c r="D11" s="14" t="s">
        <v>3</v>
      </c>
      <c r="E11" s="1"/>
      <c r="F11" s="1"/>
    </row>
    <row r="12" spans="1:6" ht="26.25" x14ac:dyDescent="0.25">
      <c r="A12" s="1"/>
      <c r="B12" s="44" t="s">
        <v>269</v>
      </c>
      <c r="C12" s="9">
        <v>983654</v>
      </c>
      <c r="D12" s="14" t="s">
        <v>3</v>
      </c>
      <c r="E12" s="1"/>
      <c r="F12" s="1"/>
    </row>
    <row r="13" spans="1:6" x14ac:dyDescent="0.25">
      <c r="A13" s="1"/>
      <c r="B13" s="47" t="s">
        <v>270</v>
      </c>
      <c r="C13" s="9">
        <v>709646</v>
      </c>
      <c r="D13" s="14" t="s">
        <v>3</v>
      </c>
      <c r="E13" s="1"/>
      <c r="F13" s="1"/>
    </row>
    <row r="14" spans="1:6" x14ac:dyDescent="0.25">
      <c r="A14" s="1"/>
      <c r="B14" s="47" t="s">
        <v>271</v>
      </c>
      <c r="C14" s="9">
        <v>50610</v>
      </c>
      <c r="D14" s="14" t="s">
        <v>3</v>
      </c>
      <c r="E14" s="1"/>
      <c r="F14" s="1"/>
    </row>
    <row r="15" spans="1:6" x14ac:dyDescent="0.25">
      <c r="A15" s="1"/>
      <c r="B15" s="45" t="s">
        <v>68</v>
      </c>
      <c r="C15" s="12">
        <f>SUM(C10:C14)</f>
        <v>4270455</v>
      </c>
      <c r="D15" s="13" t="s">
        <v>3</v>
      </c>
      <c r="E15" s="1"/>
      <c r="F15" s="1"/>
    </row>
    <row r="16" spans="1:6" x14ac:dyDescent="0.25">
      <c r="A16" s="1"/>
      <c r="B16" s="45" t="s">
        <v>69</v>
      </c>
      <c r="C16" s="12">
        <f>C15*(1+'Fane 15. Nøgletal'!C12)^2</f>
        <v>4440368.2478809506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93" t="s">
        <v>244</v>
      </c>
      <c r="C19" s="94"/>
      <c r="D19" s="95"/>
      <c r="E19" s="1"/>
      <c r="F19" s="1"/>
    </row>
    <row r="20" spans="1:6" x14ac:dyDescent="0.25">
      <c r="A20" s="1"/>
      <c r="B20" s="47" t="s">
        <v>193</v>
      </c>
      <c r="C20" s="9">
        <v>1645717</v>
      </c>
      <c r="D20" s="14" t="s">
        <v>3</v>
      </c>
      <c r="E20" s="1"/>
      <c r="F20" s="1"/>
    </row>
    <row r="21" spans="1:6" x14ac:dyDescent="0.25">
      <c r="A21" s="1"/>
      <c r="B21" s="47" t="s">
        <v>194</v>
      </c>
      <c r="C21" s="9">
        <v>1644975</v>
      </c>
      <c r="D21" s="14" t="s">
        <v>3</v>
      </c>
      <c r="E21" s="1"/>
      <c r="F21" s="1"/>
    </row>
    <row r="22" spans="1:6" x14ac:dyDescent="0.25">
      <c r="A22" s="1"/>
      <c r="B22" s="47" t="s">
        <v>195</v>
      </c>
      <c r="C22" s="9">
        <v>1644234</v>
      </c>
      <c r="D22" s="14" t="s">
        <v>3</v>
      </c>
      <c r="E22" s="1"/>
      <c r="F22" s="1"/>
    </row>
    <row r="23" spans="1:6" x14ac:dyDescent="0.25">
      <c r="A23" s="1"/>
      <c r="B23" s="47" t="s">
        <v>196</v>
      </c>
      <c r="C23" s="9">
        <v>1643489</v>
      </c>
      <c r="D23" s="14" t="s">
        <v>3</v>
      </c>
      <c r="E23" s="1"/>
      <c r="F23" s="1"/>
    </row>
    <row r="24" spans="1:6" x14ac:dyDescent="0.25">
      <c r="A24" s="1"/>
      <c r="B24" s="93"/>
      <c r="C24" s="94"/>
      <c r="D24" s="95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93" t="s">
        <v>192</v>
      </c>
      <c r="C27" s="94"/>
      <c r="D27" s="95"/>
      <c r="E27" s="1"/>
      <c r="F27" s="1"/>
    </row>
    <row r="28" spans="1:6" x14ac:dyDescent="0.25">
      <c r="A28" s="1"/>
      <c r="B28" s="47" t="s">
        <v>193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47" t="s">
        <v>194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47" t="s">
        <v>195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47" t="s">
        <v>196</v>
      </c>
      <c r="C31" s="9">
        <v>0</v>
      </c>
      <c r="D31" s="14" t="s">
        <v>3</v>
      </c>
      <c r="E31" s="1"/>
      <c r="F31" s="1"/>
    </row>
    <row r="32" spans="1:6" x14ac:dyDescent="0.25">
      <c r="A32" s="1"/>
      <c r="B32" s="93"/>
      <c r="C32" s="94"/>
      <c r="D32" s="95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</sheetData>
  <sheetProtection algorithmName="SHA-512" hashValue="5p8krHv8f9+MOs+egj2ewatJjwzDo5oVhxxIRVVeMgZfgNOeSi518glcN7dvu1eGSBGRJp3B3Ol/G/6HPgN3ug==" saltValue="nSpJ3zZFaMrEyZV29m3Ehw==" spinCount="100000" sheet="1" objects="1" scenarios="1"/>
  <mergeCells count="6">
    <mergeCell ref="B32:D32"/>
    <mergeCell ref="B3:D4"/>
    <mergeCell ref="B8:D8"/>
    <mergeCell ref="B19:D19"/>
    <mergeCell ref="B27:D27"/>
    <mergeCell ref="B24:D24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4" t="s">
        <v>232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ht="15" customHeight="1" x14ac:dyDescent="0.25">
      <c r="A5" s="1"/>
      <c r="B5" s="43"/>
      <c r="C5" s="43"/>
      <c r="D5" s="43"/>
      <c r="E5" s="43"/>
      <c r="F5" s="43"/>
      <c r="G5" s="1"/>
    </row>
    <row r="6" spans="1:7" ht="15" customHeight="1" x14ac:dyDescent="0.25">
      <c r="A6" s="1"/>
      <c r="B6" s="43"/>
      <c r="C6" s="43"/>
      <c r="D6" s="43"/>
      <c r="E6" s="43"/>
      <c r="F6" s="43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179</v>
      </c>
      <c r="C8" s="94"/>
      <c r="D8" s="94"/>
      <c r="E8" s="94"/>
      <c r="F8" s="95"/>
      <c r="G8" s="1"/>
    </row>
    <row r="9" spans="1:7" x14ac:dyDescent="0.25">
      <c r="A9" s="1"/>
      <c r="B9" s="102" t="s">
        <v>180</v>
      </c>
      <c r="C9" s="103"/>
      <c r="D9" s="104"/>
      <c r="E9" s="9">
        <v>129725819.05469525</v>
      </c>
      <c r="F9" s="14" t="s">
        <v>3</v>
      </c>
      <c r="G9" s="1"/>
    </row>
    <row r="10" spans="1:7" x14ac:dyDescent="0.25">
      <c r="A10" s="1"/>
      <c r="B10" s="102" t="s">
        <v>181</v>
      </c>
      <c r="C10" s="103"/>
      <c r="D10" s="104"/>
      <c r="E10" s="9">
        <v>117364000</v>
      </c>
      <c r="F10" s="14" t="s">
        <v>3</v>
      </c>
      <c r="G10" s="1"/>
    </row>
    <row r="11" spans="1:7" x14ac:dyDescent="0.25">
      <c r="A11" s="1"/>
      <c r="B11" s="102" t="s">
        <v>50</v>
      </c>
      <c r="C11" s="103"/>
      <c r="D11" s="104"/>
      <c r="E11" s="9">
        <v>0</v>
      </c>
      <c r="F11" s="14" t="s">
        <v>3</v>
      </c>
      <c r="G11" s="1"/>
    </row>
    <row r="12" spans="1:7" x14ac:dyDescent="0.25">
      <c r="A12" s="1"/>
      <c r="B12" s="96" t="s">
        <v>182</v>
      </c>
      <c r="C12" s="97"/>
      <c r="D12" s="98"/>
      <c r="E12" s="10">
        <f>E9-(E10-E11)</f>
        <v>12361819.054695249</v>
      </c>
      <c r="F12" s="17" t="s">
        <v>3</v>
      </c>
      <c r="G12" s="1"/>
    </row>
    <row r="13" spans="1:7" x14ac:dyDescent="0.25">
      <c r="A13" s="1"/>
      <c r="B13" s="45"/>
      <c r="C13" s="46"/>
      <c r="D13" s="46"/>
      <c r="E13" s="46"/>
      <c r="F13" s="22"/>
      <c r="G13" s="1"/>
    </row>
    <row r="14" spans="1:7" ht="27.75" customHeight="1" x14ac:dyDescent="0.25">
      <c r="A14" s="1"/>
      <c r="B14" s="75" t="s">
        <v>209</v>
      </c>
      <c r="C14" s="76"/>
      <c r="D14" s="76"/>
      <c r="E14" s="76"/>
      <c r="F14" s="77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93" t="s">
        <v>74</v>
      </c>
      <c r="C17" s="94"/>
      <c r="D17" s="94"/>
      <c r="E17" s="94"/>
      <c r="F17" s="95"/>
      <c r="G17" s="1"/>
    </row>
    <row r="18" spans="1:7" x14ac:dyDescent="0.25">
      <c r="A18" s="1"/>
      <c r="B18" s="102" t="s">
        <v>75</v>
      </c>
      <c r="C18" s="103"/>
      <c r="D18" s="104"/>
      <c r="E18" s="9">
        <v>138016843.66465187</v>
      </c>
      <c r="F18" s="14" t="s">
        <v>3</v>
      </c>
      <c r="G18" s="1"/>
    </row>
    <row r="19" spans="1:7" x14ac:dyDescent="0.25">
      <c r="A19" s="1"/>
      <c r="B19" s="102" t="s">
        <v>76</v>
      </c>
      <c r="C19" s="103"/>
      <c r="D19" s="104"/>
      <c r="E19" s="9">
        <v>144644136</v>
      </c>
      <c r="F19" s="14" t="s">
        <v>3</v>
      </c>
      <c r="G19" s="1"/>
    </row>
    <row r="20" spans="1:7" x14ac:dyDescent="0.25">
      <c r="A20" s="1"/>
      <c r="B20" s="102" t="s">
        <v>50</v>
      </c>
      <c r="C20" s="103"/>
      <c r="D20" s="104"/>
      <c r="E20" s="9">
        <v>0</v>
      </c>
      <c r="F20" s="14" t="s">
        <v>3</v>
      </c>
      <c r="G20" s="1"/>
    </row>
    <row r="21" spans="1:7" x14ac:dyDescent="0.25">
      <c r="A21" s="1"/>
      <c r="B21" s="96" t="s">
        <v>77</v>
      </c>
      <c r="C21" s="97"/>
      <c r="D21" s="98"/>
      <c r="E21" s="10">
        <f>E18-(E19-E20)</f>
        <v>-6627292.3353481293</v>
      </c>
      <c r="F21" s="17" t="s">
        <v>3</v>
      </c>
      <c r="G21" s="1"/>
    </row>
    <row r="22" spans="1:7" x14ac:dyDescent="0.25">
      <c r="A22" s="1"/>
      <c r="B22" s="45"/>
      <c r="C22" s="46"/>
      <c r="D22" s="46"/>
      <c r="E22" s="46"/>
      <c r="F22" s="22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93" t="s">
        <v>201</v>
      </c>
      <c r="C25" s="94"/>
      <c r="D25" s="94"/>
      <c r="E25" s="94"/>
      <c r="F25" s="95"/>
      <c r="G25" s="1"/>
    </row>
    <row r="26" spans="1:7" x14ac:dyDescent="0.25">
      <c r="A26" s="1"/>
      <c r="B26" s="111" t="s">
        <v>171</v>
      </c>
      <c r="C26" s="112"/>
      <c r="D26" s="113"/>
      <c r="E26" s="9">
        <f>IF(E12+E21&lt;0,E12+E21,0)</f>
        <v>0</v>
      </c>
      <c r="F26" s="14" t="s">
        <v>3</v>
      </c>
      <c r="G26" s="1"/>
    </row>
    <row r="27" spans="1:7" x14ac:dyDescent="0.25">
      <c r="A27" s="1"/>
      <c r="B27" s="111" t="s">
        <v>200</v>
      </c>
      <c r="C27" s="112"/>
      <c r="D27" s="113"/>
      <c r="E27" s="9">
        <v>4</v>
      </c>
      <c r="F27" s="14" t="s">
        <v>28</v>
      </c>
      <c r="G27" s="1"/>
    </row>
    <row r="28" spans="1:7" x14ac:dyDescent="0.25">
      <c r="A28" s="1"/>
      <c r="B28" s="96" t="s">
        <v>210</v>
      </c>
      <c r="C28" s="97"/>
      <c r="D28" s="98"/>
      <c r="E28" s="10">
        <f>E26/E27</f>
        <v>0</v>
      </c>
      <c r="F28" s="17" t="s">
        <v>3</v>
      </c>
      <c r="G28" s="1"/>
    </row>
    <row r="29" spans="1:7" x14ac:dyDescent="0.25">
      <c r="A29" s="1"/>
      <c r="B29" s="114"/>
      <c r="C29" s="115"/>
      <c r="D29" s="115"/>
      <c r="E29" s="115"/>
      <c r="F29" s="116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qPTF8EJSVE8kxQw4ML/TQvdEdUxZca+FSBGRCgfBZPxUYbZ5YoAh98DiC/oCWAKnKhWpLih+rLrM3VZVhBBX0w==" saltValue="O6lu6I820qHTO2YoOrZBHQ==" spinCount="100000" sheet="1" objects="1" scenarios="1"/>
  <mergeCells count="17">
    <mergeCell ref="B21:D21"/>
    <mergeCell ref="B3:F4"/>
    <mergeCell ref="B17:F17"/>
    <mergeCell ref="B18:D18"/>
    <mergeCell ref="B19:D19"/>
    <mergeCell ref="B20:D20"/>
    <mergeCell ref="B8:F8"/>
    <mergeCell ref="B9:D9"/>
    <mergeCell ref="B10:D10"/>
    <mergeCell ref="B11:D11"/>
    <mergeCell ref="B12:D12"/>
    <mergeCell ref="B14:F14"/>
    <mergeCell ref="B25:F25"/>
    <mergeCell ref="B26:D26"/>
    <mergeCell ref="B27:D27"/>
    <mergeCell ref="B28:D28"/>
    <mergeCell ref="B29:F2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4" t="s">
        <v>260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3" t="s">
        <v>174</v>
      </c>
      <c r="C9" s="94"/>
      <c r="D9" s="94"/>
      <c r="E9" s="94"/>
      <c r="F9" s="94"/>
      <c r="G9" s="1"/>
    </row>
    <row r="10" spans="1:7" x14ac:dyDescent="0.25">
      <c r="A10" s="1"/>
      <c r="B10" s="75" t="s">
        <v>197</v>
      </c>
      <c r="C10" s="76"/>
      <c r="D10" s="77"/>
      <c r="E10" s="7">
        <v>0</v>
      </c>
      <c r="F10" s="8" t="s">
        <v>3</v>
      </c>
      <c r="G10" s="1"/>
    </row>
    <row r="11" spans="1:7" x14ac:dyDescent="0.25">
      <c r="A11" s="1"/>
      <c r="B11" s="102" t="s">
        <v>198</v>
      </c>
      <c r="C11" s="103"/>
      <c r="D11" s="104"/>
      <c r="E11" s="7">
        <v>0</v>
      </c>
      <c r="F11" s="8" t="s">
        <v>3</v>
      </c>
      <c r="G11" s="1"/>
    </row>
    <row r="12" spans="1:7" x14ac:dyDescent="0.25">
      <c r="A12" s="1"/>
      <c r="B12" s="96" t="s">
        <v>199</v>
      </c>
      <c r="C12" s="97"/>
      <c r="D12" s="98"/>
      <c r="E12" s="10">
        <f>E11-E10</f>
        <v>0</v>
      </c>
      <c r="F12" s="11" t="s">
        <v>3</v>
      </c>
      <c r="G12" s="1"/>
    </row>
    <row r="13" spans="1:7" x14ac:dyDescent="0.25">
      <c r="A13" s="1"/>
      <c r="B13" s="93" t="s">
        <v>175</v>
      </c>
      <c r="C13" s="94"/>
      <c r="D13" s="94"/>
      <c r="E13" s="94"/>
      <c r="F13" s="94"/>
      <c r="G13" s="1"/>
    </row>
    <row r="14" spans="1:7" x14ac:dyDescent="0.25">
      <c r="A14" s="1"/>
      <c r="B14" s="102" t="s">
        <v>218</v>
      </c>
      <c r="C14" s="103"/>
      <c r="D14" s="104"/>
      <c r="E14" s="9">
        <v>1770269</v>
      </c>
      <c r="F14" s="8" t="s">
        <v>3</v>
      </c>
      <c r="G14" s="1"/>
    </row>
    <row r="15" spans="1:7" x14ac:dyDescent="0.25">
      <c r="A15" s="1"/>
      <c r="B15" s="75" t="s">
        <v>219</v>
      </c>
      <c r="C15" s="76"/>
      <c r="D15" s="77"/>
      <c r="E15" s="9">
        <v>1715708</v>
      </c>
      <c r="F15" s="8" t="s">
        <v>3</v>
      </c>
      <c r="G15" s="1"/>
    </row>
    <row r="16" spans="1:7" x14ac:dyDescent="0.25">
      <c r="A16" s="1"/>
      <c r="B16" s="96" t="s">
        <v>199</v>
      </c>
      <c r="C16" s="97"/>
      <c r="D16" s="98"/>
      <c r="E16" s="10">
        <f>E15-E14</f>
        <v>-54561</v>
      </c>
      <c r="F16" s="11" t="s">
        <v>3</v>
      </c>
      <c r="G16" s="1"/>
    </row>
    <row r="17" spans="1:7" ht="15" customHeight="1" x14ac:dyDescent="0.25">
      <c r="A17" s="1"/>
      <c r="B17" s="93" t="s">
        <v>170</v>
      </c>
      <c r="C17" s="94"/>
      <c r="D17" s="94"/>
      <c r="E17" s="94"/>
      <c r="F17" s="94"/>
      <c r="G17" s="1"/>
    </row>
    <row r="18" spans="1:7" ht="28.15" customHeight="1" x14ac:dyDescent="0.25">
      <c r="A18" s="1"/>
      <c r="B18" s="75" t="s">
        <v>266</v>
      </c>
      <c r="C18" s="76"/>
      <c r="D18" s="77"/>
      <c r="E18" s="9">
        <v>0</v>
      </c>
      <c r="F18" s="8" t="s">
        <v>3</v>
      </c>
      <c r="G18" s="1"/>
    </row>
    <row r="19" spans="1:7" ht="29.25" customHeight="1" x14ac:dyDescent="0.25">
      <c r="A19" s="1"/>
      <c r="B19" s="78" t="s">
        <v>178</v>
      </c>
      <c r="C19" s="79"/>
      <c r="D19" s="80"/>
      <c r="E19" s="10">
        <f>IF('Fane 3. Omkostninger i ØR2019'!E28-'Fane 3. Omkostninger i ØR2019'!E28/(1+'Fane 15. Nøgletal'!C11)^2+E18&lt;0,-('Fane 3. Omkostninger i ØR2019'!E28-'Fane 3. Omkostninger i ØR2019'!E28/(1+'Fane 15. Nøgletal'!C11)^2+E18),0)</f>
        <v>1074.4580759010933</v>
      </c>
      <c r="F19" s="11" t="s">
        <v>3</v>
      </c>
      <c r="G19" s="1"/>
    </row>
    <row r="20" spans="1:7" x14ac:dyDescent="0.25">
      <c r="A20" s="1"/>
      <c r="B20" s="45" t="s">
        <v>190</v>
      </c>
      <c r="C20" s="46"/>
      <c r="D20" s="46"/>
      <c r="E20" s="12">
        <f>E12+E16+E19</f>
        <v>-53486.541924098907</v>
      </c>
      <c r="F20" s="13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IwYdoLvU0VnNMP8121Q9IFBQcyNIf4nI+YOseZnkFHCmEFa4CBSWH5tHSMafjbX73w5kDlNfOlaCw+Pe05dXpg==" saltValue="jD9JNfbsAIIyOWY6G4Iv9A==" spinCount="100000" sheet="1" objects="1" scenarios="1"/>
  <mergeCells count="12">
    <mergeCell ref="B13:F13"/>
    <mergeCell ref="B17:F17"/>
    <mergeCell ref="B16:D16"/>
    <mergeCell ref="B19:D19"/>
    <mergeCell ref="B3:F4"/>
    <mergeCell ref="B10:D10"/>
    <mergeCell ref="B11:D11"/>
    <mergeCell ref="B14:D14"/>
    <mergeCell ref="B15:D15"/>
    <mergeCell ref="B9:F9"/>
    <mergeCell ref="B12:D12"/>
    <mergeCell ref="B18:D18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261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262</v>
      </c>
      <c r="C8" s="94"/>
      <c r="D8" s="94"/>
      <c r="E8" s="94"/>
      <c r="F8" s="94"/>
      <c r="G8" s="94"/>
      <c r="H8" s="95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47</v>
      </c>
      <c r="H9" s="42"/>
      <c r="I9" s="1"/>
    </row>
    <row r="10" spans="1:9" ht="26.25" x14ac:dyDescent="0.25">
      <c r="A10" s="1"/>
      <c r="B10" s="51" t="s">
        <v>275</v>
      </c>
      <c r="C10" s="126">
        <v>75</v>
      </c>
      <c r="D10" s="9">
        <v>716465</v>
      </c>
      <c r="E10" s="9">
        <f>IFERROR(D10/C10,0)</f>
        <v>9552.8666666666668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93" t="s">
        <v>263</v>
      </c>
      <c r="C11" s="94"/>
      <c r="D11" s="95"/>
      <c r="E11" s="12">
        <f>SUM(E10:E10)</f>
        <v>9552.8666666666668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HWb4swDTD3NSa0N27MZzqk30NHUjTl5+ltbw/pq7Z69L3ippVydGTIPgqQZfhjoQnoypYq6MYbQ/5a2pHTqMSA==" saltValue="BKghfvNBiFDHRHlx4D0Jwg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231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5" t="s">
        <v>137</v>
      </c>
      <c r="C8" s="46"/>
      <c r="D8" s="46"/>
      <c r="E8" s="46"/>
      <c r="F8" s="22"/>
      <c r="G8" s="1"/>
    </row>
    <row r="9" spans="1:7" ht="17.25" customHeight="1" x14ac:dyDescent="0.25">
      <c r="A9" s="1"/>
      <c r="B9" s="39" t="s">
        <v>25</v>
      </c>
      <c r="C9" s="39" t="s">
        <v>16</v>
      </c>
      <c r="D9" s="40"/>
      <c r="E9" s="39" t="s">
        <v>48</v>
      </c>
      <c r="F9" s="42"/>
      <c r="G9" s="1"/>
    </row>
    <row r="10" spans="1:7" x14ac:dyDescent="0.25">
      <c r="A10" s="1"/>
      <c r="B10" s="27" t="s">
        <v>276</v>
      </c>
      <c r="C10" s="24">
        <f>'Fane 9. Anlægsprojekter'!F11</f>
        <v>0</v>
      </c>
      <c r="D10" s="14" t="s">
        <v>3</v>
      </c>
      <c r="E10" s="9">
        <f>SUM('Fane 9. Anlægsprojekter'!E11,'Fane 9. Anlægsprojekter'!G11)</f>
        <v>9552.8666666666668</v>
      </c>
      <c r="F10" s="14" t="s">
        <v>3</v>
      </c>
      <c r="G10" s="1"/>
    </row>
    <row r="11" spans="1:7" x14ac:dyDescent="0.25">
      <c r="A11" s="1"/>
      <c r="B11" s="127" t="s">
        <v>272</v>
      </c>
      <c r="C11" s="24">
        <v>1391516</v>
      </c>
      <c r="D11" s="14" t="s">
        <v>3</v>
      </c>
      <c r="E11" s="9">
        <v>0</v>
      </c>
      <c r="F11" s="14" t="s">
        <v>3</v>
      </c>
      <c r="G11" s="1"/>
    </row>
    <row r="12" spans="1:7" x14ac:dyDescent="0.25">
      <c r="A12" s="1"/>
      <c r="B12" s="27" t="s">
        <v>273</v>
      </c>
      <c r="C12" s="24">
        <v>121077</v>
      </c>
      <c r="D12" s="14" t="s">
        <v>3</v>
      </c>
      <c r="E12" s="9">
        <v>16025</v>
      </c>
      <c r="F12" s="14" t="s">
        <v>3</v>
      </c>
      <c r="G12" s="1"/>
    </row>
    <row r="13" spans="1:7" x14ac:dyDescent="0.25">
      <c r="A13" s="1"/>
      <c r="B13" s="45" t="s">
        <v>60</v>
      </c>
      <c r="C13" s="12">
        <f>SUM(C10:C12)</f>
        <v>1512593</v>
      </c>
      <c r="D13" s="13" t="s">
        <v>3</v>
      </c>
      <c r="E13" s="12">
        <f>SUM(E10:E12)</f>
        <v>25577.866666666669</v>
      </c>
      <c r="F13" s="13" t="s">
        <v>3</v>
      </c>
      <c r="G13" s="1"/>
    </row>
    <row r="14" spans="1:7" x14ac:dyDescent="0.25">
      <c r="A14" s="1"/>
      <c r="B14" s="45" t="s">
        <v>71</v>
      </c>
      <c r="C14" s="12">
        <f>C13*(1+'Fane 15. Nøgletal'!C12)</f>
        <v>1542391.0821</v>
      </c>
      <c r="D14" s="13" t="s">
        <v>3</v>
      </c>
      <c r="E14" s="12">
        <f>E13*(1+'Fane 15. Nøgletal'!C12)</f>
        <v>26081.750640000002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xgWElpy9Nt+jmDW1FbNMxlsuaZEYOMZRcr6QR0IVtq3IPy0yunlxw/BzEmZTuEHXVGNdyVBP5NjAf4i/p4ay4g==" saltValue="dDqdU2K8jZO1SwHIbpjZO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230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183</v>
      </c>
      <c r="C8" s="94"/>
      <c r="D8" s="94"/>
      <c r="E8" s="94"/>
      <c r="F8" s="95"/>
      <c r="G8" s="1"/>
    </row>
    <row r="9" spans="1:7" x14ac:dyDescent="0.25">
      <c r="A9" s="1"/>
      <c r="B9" s="39" t="s">
        <v>25</v>
      </c>
      <c r="C9" s="39" t="s">
        <v>16</v>
      </c>
      <c r="D9" s="40"/>
      <c r="E9" s="39" t="s">
        <v>48</v>
      </c>
      <c r="F9" s="42"/>
      <c r="G9" s="1"/>
    </row>
    <row r="10" spans="1:7" x14ac:dyDescent="0.25">
      <c r="A10" s="1"/>
      <c r="B10" s="27" t="s">
        <v>274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5" t="s">
        <v>187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krav'!G10</f>
        <v>0</v>
      </c>
      <c r="D12" s="31" t="s">
        <v>3</v>
      </c>
      <c r="E12" s="30">
        <f>-E11*'Fane 5. Individuelt eff. krav'!G10</f>
        <v>0</v>
      </c>
      <c r="F12" s="31" t="s">
        <v>3</v>
      </c>
      <c r="G12" s="1"/>
    </row>
    <row r="13" spans="1:7" x14ac:dyDescent="0.25">
      <c r="A13" s="1"/>
      <c r="B13" s="29" t="s">
        <v>191</v>
      </c>
      <c r="C13" s="30">
        <f>-C11*'Fane 15. Nøgletal'!C25</f>
        <v>0</v>
      </c>
      <c r="D13" s="31" t="s">
        <v>3</v>
      </c>
      <c r="E13" s="30">
        <f>-E11*'Fane 15. Nøgletal'!C20</f>
        <v>0</v>
      </c>
      <c r="F13" s="31" t="s">
        <v>3</v>
      </c>
      <c r="G13" s="1"/>
    </row>
    <row r="14" spans="1:7" x14ac:dyDescent="0.25">
      <c r="A14" s="1"/>
      <c r="B14" s="45" t="s">
        <v>188</v>
      </c>
      <c r="C14" s="12">
        <f>SUM(C11:C13)*(1+'Fane 15. Nøgletal'!C12)^2</f>
        <v>0</v>
      </c>
      <c r="D14" s="13" t="s">
        <v>3</v>
      </c>
      <c r="E14" s="12">
        <f>SUM(E11:E13)*(1+'Fane 15.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3" t="s">
        <v>184</v>
      </c>
      <c r="C16" s="94"/>
      <c r="D16" s="94"/>
      <c r="E16" s="94"/>
      <c r="F16" s="95"/>
      <c r="G16" s="1"/>
    </row>
    <row r="17" spans="1:7" x14ac:dyDescent="0.25">
      <c r="A17" s="1"/>
      <c r="B17" s="39" t="s">
        <v>25</v>
      </c>
      <c r="C17" s="39" t="s">
        <v>16</v>
      </c>
      <c r="D17" s="40"/>
      <c r="E17" s="39" t="s">
        <v>48</v>
      </c>
      <c r="F17" s="42"/>
      <c r="G17" s="1"/>
    </row>
    <row r="18" spans="1:7" x14ac:dyDescent="0.25">
      <c r="A18" s="1"/>
      <c r="B18" s="27" t="s">
        <v>274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5" t="s">
        <v>187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krav'!G10</f>
        <v>0</v>
      </c>
      <c r="D20" s="31" t="s">
        <v>3</v>
      </c>
      <c r="E20" s="30">
        <f>-E19*'Fane 5. Individuelt eff. krav'!G10</f>
        <v>0</v>
      </c>
      <c r="F20" s="31" t="s">
        <v>3</v>
      </c>
      <c r="G20" s="1"/>
    </row>
    <row r="21" spans="1:7" x14ac:dyDescent="0.25">
      <c r="A21" s="1"/>
      <c r="B21" s="29" t="s">
        <v>191</v>
      </c>
      <c r="C21" s="30">
        <f>-C19*'Fane 15. Nøgletal'!C25</f>
        <v>0</v>
      </c>
      <c r="D21" s="31" t="s">
        <v>3</v>
      </c>
      <c r="E21" s="30">
        <f>-E19*'Fane 15. Nøgletal'!C20</f>
        <v>0</v>
      </c>
      <c r="F21" s="31" t="s">
        <v>3</v>
      </c>
      <c r="G21" s="1"/>
    </row>
    <row r="22" spans="1:7" x14ac:dyDescent="0.25">
      <c r="A22" s="1"/>
      <c r="B22" s="45" t="s">
        <v>189</v>
      </c>
      <c r="C22" s="12">
        <f>SUM(C19:C21)*(1+'Fane 15. Nøgletal'!C12)^3</f>
        <v>0</v>
      </c>
      <c r="D22" s="13" t="s">
        <v>3</v>
      </c>
      <c r="E22" s="12">
        <f>SUM(E19:E21)*(1+'Fane 15.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3" t="s">
        <v>185</v>
      </c>
      <c r="C24" s="94"/>
      <c r="D24" s="94"/>
      <c r="E24" s="94"/>
      <c r="F24" s="95"/>
      <c r="G24" s="1"/>
    </row>
    <row r="25" spans="1:7" x14ac:dyDescent="0.25">
      <c r="A25" s="1"/>
      <c r="B25" s="39" t="s">
        <v>25</v>
      </c>
      <c r="C25" s="39" t="s">
        <v>16</v>
      </c>
      <c r="D25" s="40"/>
      <c r="E25" s="39" t="s">
        <v>48</v>
      </c>
      <c r="F25" s="42"/>
      <c r="G25" s="1"/>
    </row>
    <row r="26" spans="1:7" x14ac:dyDescent="0.25">
      <c r="A26" s="1"/>
      <c r="B26" s="27" t="s">
        <v>274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5" t="s">
        <v>187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krav'!G10</f>
        <v>0</v>
      </c>
      <c r="D28" s="31" t="s">
        <v>3</v>
      </c>
      <c r="E28" s="30">
        <f>-E27*'Fane 5. Individuelt eff. krav'!G10</f>
        <v>0</v>
      </c>
      <c r="F28" s="31" t="s">
        <v>3</v>
      </c>
      <c r="G28" s="1"/>
    </row>
    <row r="29" spans="1:7" x14ac:dyDescent="0.25">
      <c r="A29" s="1"/>
      <c r="B29" s="29" t="s">
        <v>191</v>
      </c>
      <c r="C29" s="30">
        <f>-C27*'Fane 15. Nøgletal'!C25</f>
        <v>0</v>
      </c>
      <c r="D29" s="31" t="s">
        <v>3</v>
      </c>
      <c r="E29" s="30">
        <f>-E27*'Fane 15. Nøgletal'!C20</f>
        <v>0</v>
      </c>
      <c r="F29" s="31" t="s">
        <v>3</v>
      </c>
      <c r="G29" s="1"/>
    </row>
    <row r="30" spans="1:7" x14ac:dyDescent="0.25">
      <c r="A30" s="1"/>
      <c r="B30" s="45" t="s">
        <v>189</v>
      </c>
      <c r="C30" s="12">
        <f>SUM(C27:C29)*(1+'Fane 15. Nøgletal'!C12)^4</f>
        <v>0</v>
      </c>
      <c r="D30" s="13" t="s">
        <v>3</v>
      </c>
      <c r="E30" s="12">
        <f>SUM(E27:E29)*(1+'Fane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3" t="s">
        <v>186</v>
      </c>
      <c r="C32" s="94"/>
      <c r="D32" s="94"/>
      <c r="E32" s="94"/>
      <c r="F32" s="95"/>
      <c r="G32" s="1"/>
    </row>
    <row r="33" spans="1:7" x14ac:dyDescent="0.25">
      <c r="A33" s="1"/>
      <c r="B33" s="39" t="s">
        <v>25</v>
      </c>
      <c r="C33" s="39" t="s">
        <v>16</v>
      </c>
      <c r="D33" s="40"/>
      <c r="E33" s="39" t="s">
        <v>48</v>
      </c>
      <c r="F33" s="42"/>
      <c r="G33" s="1"/>
    </row>
    <row r="34" spans="1:7" x14ac:dyDescent="0.25">
      <c r="A34" s="1"/>
      <c r="B34" s="27" t="s">
        <v>274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5" t="s">
        <v>187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krav'!G10</f>
        <v>0</v>
      </c>
      <c r="D36" s="31" t="s">
        <v>3</v>
      </c>
      <c r="E36" s="30">
        <f>-E35*'Fane 5. Individuelt eff. krav'!G10</f>
        <v>0</v>
      </c>
      <c r="F36" s="31" t="s">
        <v>3</v>
      </c>
      <c r="G36" s="1"/>
    </row>
    <row r="37" spans="1:7" x14ac:dyDescent="0.25">
      <c r="A37" s="1"/>
      <c r="B37" s="29" t="s">
        <v>191</v>
      </c>
      <c r="C37" s="30">
        <f>-C35*'Fane 15. Nøgletal'!C25</f>
        <v>0</v>
      </c>
      <c r="D37" s="31" t="s">
        <v>3</v>
      </c>
      <c r="E37" s="30">
        <f>-E35*'Fane 15. Nøgletal'!C20</f>
        <v>0</v>
      </c>
      <c r="F37" s="31" t="s">
        <v>3</v>
      </c>
      <c r="G37" s="1"/>
    </row>
    <row r="38" spans="1:7" x14ac:dyDescent="0.25">
      <c r="A38" s="1"/>
      <c r="B38" s="45" t="s">
        <v>189</v>
      </c>
      <c r="C38" s="12">
        <f>SUM(C35:C37)*(1+'Fane 15. Nøgletal'!C12)^5</f>
        <v>0</v>
      </c>
      <c r="D38" s="13" t="s">
        <v>3</v>
      </c>
      <c r="E38" s="12">
        <f>SUM(E35:E37)*(1+'Fane 15.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hyHZ5h+m8zEXpv5JcPLduct74vBuY15JI5wVYUjnFXwsU/TpBgHwf2o8Shx/OGwkrfCC9CEqF/zd0gqwpFdcLA==" saltValue="oz3P39TtZaBg33AggoyvO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243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4"/>
      <c r="C5" s="84"/>
      <c r="D5" s="84"/>
      <c r="E5" s="84"/>
      <c r="F5" s="8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158</v>
      </c>
      <c r="C8" s="94"/>
      <c r="D8" s="94"/>
      <c r="E8" s="94"/>
      <c r="F8" s="95"/>
      <c r="G8" s="1"/>
    </row>
    <row r="9" spans="1:7" x14ac:dyDescent="0.25">
      <c r="A9" s="1"/>
      <c r="B9" s="117" t="s">
        <v>157</v>
      </c>
      <c r="C9" s="118"/>
      <c r="D9" s="119"/>
      <c r="E9" s="9">
        <v>0</v>
      </c>
      <c r="F9" s="14" t="s">
        <v>3</v>
      </c>
      <c r="G9" s="1"/>
    </row>
    <row r="10" spans="1:7" x14ac:dyDescent="0.25">
      <c r="A10" s="1"/>
      <c r="B10" s="120" t="s">
        <v>10</v>
      </c>
      <c r="C10" s="121"/>
      <c r="D10" s="122"/>
      <c r="E10" s="9">
        <f>-E9*'Fane 5. Individuelt eff. krav'!G10</f>
        <v>0</v>
      </c>
      <c r="F10" s="14" t="s">
        <v>3</v>
      </c>
      <c r="G10" s="1"/>
    </row>
    <row r="11" spans="1:7" x14ac:dyDescent="0.25">
      <c r="A11" s="1"/>
      <c r="B11" s="120" t="s">
        <v>39</v>
      </c>
      <c r="C11" s="121"/>
      <c r="D11" s="122"/>
      <c r="E11" s="9">
        <f>-E9*'Fane 15. Nøgletal'!C25</f>
        <v>0</v>
      </c>
      <c r="F11" s="14" t="s">
        <v>3</v>
      </c>
      <c r="G11" s="1"/>
    </row>
    <row r="12" spans="1:7" x14ac:dyDescent="0.25">
      <c r="A12" s="1"/>
      <c r="B12" s="93" t="s">
        <v>162</v>
      </c>
      <c r="C12" s="94"/>
      <c r="D12" s="95"/>
      <c r="E12" s="12">
        <f>SUM(E9:E11)*(1+'Fane 15. Nøgletal'!C10)^2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3" t="s">
        <v>159</v>
      </c>
      <c r="C14" s="94"/>
      <c r="D14" s="94"/>
      <c r="E14" s="94"/>
      <c r="F14" s="95"/>
      <c r="G14" s="1"/>
    </row>
    <row r="15" spans="1:7" x14ac:dyDescent="0.25">
      <c r="A15" s="1"/>
      <c r="B15" s="117" t="s">
        <v>157</v>
      </c>
      <c r="C15" s="118"/>
      <c r="D15" s="119"/>
      <c r="E15" s="9">
        <v>0</v>
      </c>
      <c r="F15" s="14" t="s">
        <v>3</v>
      </c>
      <c r="G15" s="1"/>
    </row>
    <row r="16" spans="1:7" x14ac:dyDescent="0.25">
      <c r="A16" s="1"/>
      <c r="B16" s="120" t="s">
        <v>10</v>
      </c>
      <c r="C16" s="121"/>
      <c r="D16" s="122"/>
      <c r="E16" s="9">
        <f>-E15*'Fane 5. Individuelt eff. krav'!G10</f>
        <v>0</v>
      </c>
      <c r="F16" s="14" t="s">
        <v>3</v>
      </c>
      <c r="G16" s="1"/>
    </row>
    <row r="17" spans="1:7" x14ac:dyDescent="0.25">
      <c r="A17" s="1"/>
      <c r="B17" s="120" t="s">
        <v>39</v>
      </c>
      <c r="C17" s="121"/>
      <c r="D17" s="122"/>
      <c r="E17" s="9">
        <f>-E15*'Fane 15. Nøgletal'!C25</f>
        <v>0</v>
      </c>
      <c r="F17" s="14" t="s">
        <v>3</v>
      </c>
      <c r="G17" s="1"/>
    </row>
    <row r="18" spans="1:7" x14ac:dyDescent="0.25">
      <c r="A18" s="1"/>
      <c r="B18" s="93" t="s">
        <v>163</v>
      </c>
      <c r="C18" s="94"/>
      <c r="D18" s="95"/>
      <c r="E18" s="12">
        <f>SUM(E15:E17)*(1+'Fane 15. Nøgletal'!C10)^3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3" t="s">
        <v>160</v>
      </c>
      <c r="C20" s="94"/>
      <c r="D20" s="94"/>
      <c r="E20" s="94"/>
      <c r="F20" s="95"/>
      <c r="G20" s="1"/>
    </row>
    <row r="21" spans="1:7" x14ac:dyDescent="0.25">
      <c r="A21" s="1"/>
      <c r="B21" s="117" t="s">
        <v>157</v>
      </c>
      <c r="C21" s="118"/>
      <c r="D21" s="119"/>
      <c r="E21" s="9">
        <v>0</v>
      </c>
      <c r="F21" s="14" t="s">
        <v>3</v>
      </c>
      <c r="G21" s="1"/>
    </row>
    <row r="22" spans="1:7" x14ac:dyDescent="0.25">
      <c r="A22" s="1"/>
      <c r="B22" s="120" t="s">
        <v>10</v>
      </c>
      <c r="C22" s="121"/>
      <c r="D22" s="122"/>
      <c r="E22" s="9">
        <f>-E21*'Fane 5. Individuelt eff. krav'!G10</f>
        <v>0</v>
      </c>
      <c r="F22" s="14" t="s">
        <v>3</v>
      </c>
      <c r="G22" s="1"/>
    </row>
    <row r="23" spans="1:7" x14ac:dyDescent="0.25">
      <c r="A23" s="1"/>
      <c r="B23" s="120" t="s">
        <v>39</v>
      </c>
      <c r="C23" s="121"/>
      <c r="D23" s="122"/>
      <c r="E23" s="9">
        <f>-E21*'Fane 15. Nøgletal'!C25</f>
        <v>0</v>
      </c>
      <c r="F23" s="14" t="s">
        <v>3</v>
      </c>
      <c r="G23" s="1"/>
    </row>
    <row r="24" spans="1:7" x14ac:dyDescent="0.25">
      <c r="A24" s="1"/>
      <c r="B24" s="93" t="s">
        <v>164</v>
      </c>
      <c r="C24" s="94"/>
      <c r="D24" s="95"/>
      <c r="E24" s="12">
        <f>SUM(E21:E23)*(1+'Fane 15. Nøgletal'!C12)^4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3" t="s">
        <v>161</v>
      </c>
      <c r="C26" s="94"/>
      <c r="D26" s="94"/>
      <c r="E26" s="94"/>
      <c r="F26" s="95"/>
      <c r="G26" s="1"/>
    </row>
    <row r="27" spans="1:7" x14ac:dyDescent="0.25">
      <c r="A27" s="1"/>
      <c r="B27" s="117" t="s">
        <v>157</v>
      </c>
      <c r="C27" s="118"/>
      <c r="D27" s="119"/>
      <c r="E27" s="9">
        <v>0</v>
      </c>
      <c r="F27" s="14" t="s">
        <v>3</v>
      </c>
      <c r="G27" s="1"/>
    </row>
    <row r="28" spans="1:7" x14ac:dyDescent="0.25">
      <c r="A28" s="1"/>
      <c r="B28" s="120" t="s">
        <v>10</v>
      </c>
      <c r="C28" s="121"/>
      <c r="D28" s="122"/>
      <c r="E28" s="9">
        <f>-E27*'Fane 5. Individuelt eff. krav'!G10</f>
        <v>0</v>
      </c>
      <c r="F28" s="14" t="s">
        <v>3</v>
      </c>
      <c r="G28" s="1"/>
    </row>
    <row r="29" spans="1:7" x14ac:dyDescent="0.25">
      <c r="A29" s="1"/>
      <c r="B29" s="120" t="s">
        <v>39</v>
      </c>
      <c r="C29" s="121"/>
      <c r="D29" s="122"/>
      <c r="E29" s="9">
        <f>-E27*'Fane 15. Nøgletal'!C25</f>
        <v>0</v>
      </c>
      <c r="F29" s="14" t="s">
        <v>3</v>
      </c>
      <c r="G29" s="1"/>
    </row>
    <row r="30" spans="1:7" x14ac:dyDescent="0.25">
      <c r="A30" s="1"/>
      <c r="B30" s="93" t="s">
        <v>165</v>
      </c>
      <c r="C30" s="94"/>
      <c r="D30" s="95"/>
      <c r="E30" s="12">
        <f>SUM(E27:E29)*(1+'Fane 15. Nøgletal'!C12)^5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cb4UkdHboo/Fu7FU7VT0B0fJr6x1LzE+S0wKkL6aXdYqakbuKHX5dNIatxAKbBxiWsQtZRJF9WBM7RVBlRUuzA==" saltValue="7K5T4TtPkHcFdkxuwA+Atw==" spinCount="100000" sheet="1" objects="1" scenarios="1"/>
  <mergeCells count="21">
    <mergeCell ref="B12:D12"/>
    <mergeCell ref="B10:D10"/>
    <mergeCell ref="B11:D11"/>
    <mergeCell ref="B16:D16"/>
    <mergeCell ref="B17:D17"/>
    <mergeCell ref="B3:F5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8:F8"/>
    <mergeCell ref="B9:D9"/>
    <mergeCell ref="B18:D18"/>
    <mergeCell ref="B20:F20"/>
    <mergeCell ref="B14:F14"/>
    <mergeCell ref="B15:D15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4" style="2" customWidth="1"/>
    <col min="4" max="4" width="3.28515625" style="2" customWidth="1"/>
    <col min="5" max="5" width="14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229</v>
      </c>
      <c r="C3" s="84"/>
      <c r="D3" s="84"/>
      <c r="E3" s="84"/>
      <c r="F3" s="84"/>
      <c r="G3" s="1"/>
    </row>
    <row r="4" spans="1:7" ht="25.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32</v>
      </c>
      <c r="C8" s="94"/>
      <c r="D8" s="94"/>
      <c r="E8" s="94"/>
      <c r="F8" s="95"/>
      <c r="G8" s="1"/>
    </row>
    <row r="9" spans="1:7" ht="15" customHeight="1" x14ac:dyDescent="0.25">
      <c r="A9" s="1"/>
      <c r="B9" s="41" t="s">
        <v>33</v>
      </c>
      <c r="C9" s="78" t="s">
        <v>16</v>
      </c>
      <c r="D9" s="80"/>
      <c r="E9" s="81" t="s">
        <v>48</v>
      </c>
      <c r="F9" s="83"/>
      <c r="G9" s="1"/>
    </row>
    <row r="10" spans="1:7" x14ac:dyDescent="0.25">
      <c r="A10" s="1"/>
      <c r="B10" s="27" t="s">
        <v>264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73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yA9bF1DA15zHicen9Le6EXQZeC0iY6pStnPNTYG8mc8VYQMIXjbYBtRDwaUhLD7+b9ic99QB31tsk/sRBiVRrQ==" saltValue="3vMDOoWkMfCFwTmRblVH1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227</v>
      </c>
      <c r="C3" s="84"/>
      <c r="D3" s="84"/>
      <c r="E3" s="84"/>
      <c r="F3" s="84"/>
      <c r="G3" s="1"/>
    </row>
    <row r="4" spans="1:7" ht="25.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167</v>
      </c>
      <c r="C8" s="94"/>
      <c r="D8" s="94"/>
      <c r="E8" s="94"/>
      <c r="F8" s="95"/>
      <c r="G8" s="1"/>
    </row>
    <row r="9" spans="1:7" ht="15" customHeight="1" x14ac:dyDescent="0.25">
      <c r="A9" s="1"/>
      <c r="B9" s="41" t="s">
        <v>26</v>
      </c>
      <c r="C9" s="41" t="s">
        <v>16</v>
      </c>
      <c r="D9" s="42"/>
      <c r="E9" s="41" t="s">
        <v>48</v>
      </c>
      <c r="F9" s="42"/>
      <c r="G9" s="1"/>
    </row>
    <row r="10" spans="1:7" x14ac:dyDescent="0.25">
      <c r="A10" s="1"/>
      <c r="B10" s="27" t="s">
        <v>265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5" t="s">
        <v>61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5" t="s">
        <v>72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3" t="s">
        <v>168</v>
      </c>
      <c r="C14" s="94"/>
      <c r="D14" s="94"/>
      <c r="E14" s="94"/>
      <c r="F14" s="95"/>
      <c r="G14" s="1"/>
    </row>
    <row r="15" spans="1:7" ht="26.25" x14ac:dyDescent="0.25">
      <c r="A15" s="1"/>
      <c r="B15" s="41" t="s">
        <v>26</v>
      </c>
      <c r="C15" s="41" t="s">
        <v>16</v>
      </c>
      <c r="D15" s="42"/>
      <c r="E15" s="41" t="s">
        <v>48</v>
      </c>
      <c r="F15" s="42"/>
      <c r="G15" s="1"/>
    </row>
    <row r="16" spans="1:7" x14ac:dyDescent="0.25">
      <c r="A16" s="1"/>
      <c r="B16" s="27" t="s">
        <v>265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45" t="s">
        <v>61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45" t="s">
        <v>150</v>
      </c>
      <c r="C18" s="12">
        <f>C17*(1+'Fane 15. Nøgletal'!C12)^2</f>
        <v>0</v>
      </c>
      <c r="D18" s="13" t="s">
        <v>3</v>
      </c>
      <c r="E18" s="12">
        <f>E17*(1+'Fane 15. Nøgletal'!C12)^2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3" t="s">
        <v>166</v>
      </c>
      <c r="C20" s="94"/>
      <c r="D20" s="94"/>
      <c r="E20" s="94"/>
      <c r="F20" s="95"/>
      <c r="G20" s="1"/>
    </row>
    <row r="21" spans="1:7" ht="26.25" x14ac:dyDescent="0.25">
      <c r="A21" s="1"/>
      <c r="B21" s="41" t="s">
        <v>26</v>
      </c>
      <c r="C21" s="41" t="s">
        <v>16</v>
      </c>
      <c r="D21" s="42"/>
      <c r="E21" s="41" t="s">
        <v>48</v>
      </c>
      <c r="F21" s="42"/>
      <c r="G21" s="1"/>
    </row>
    <row r="22" spans="1:7" x14ac:dyDescent="0.25">
      <c r="A22" s="1"/>
      <c r="B22" s="27" t="s">
        <v>265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45" t="s">
        <v>61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45" t="s">
        <v>151</v>
      </c>
      <c r="C24" s="12">
        <f>C23*(1+'Fane 15. Nøgletal'!C12)^3</f>
        <v>0</v>
      </c>
      <c r="D24" s="13" t="s">
        <v>3</v>
      </c>
      <c r="E24" s="12">
        <f>E23*(1+'Fane 15. Nøgletal'!C12)^3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3" t="s">
        <v>169</v>
      </c>
      <c r="C26" s="94"/>
      <c r="D26" s="94"/>
      <c r="E26" s="94"/>
      <c r="F26" s="95"/>
      <c r="G26" s="1"/>
    </row>
    <row r="27" spans="1:7" ht="26.25" x14ac:dyDescent="0.25">
      <c r="A27" s="1"/>
      <c r="B27" s="41" t="s">
        <v>26</v>
      </c>
      <c r="C27" s="41" t="s">
        <v>16</v>
      </c>
      <c r="D27" s="42"/>
      <c r="E27" s="41" t="s">
        <v>48</v>
      </c>
      <c r="F27" s="42"/>
      <c r="G27" s="1"/>
    </row>
    <row r="28" spans="1:7" x14ac:dyDescent="0.25">
      <c r="A28" s="1"/>
      <c r="B28" s="27" t="s">
        <v>265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45" t="s">
        <v>61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45" t="s">
        <v>152</v>
      </c>
      <c r="C30" s="12">
        <f>C29*(1+'Fane 15. Nøgletal'!C12)^4</f>
        <v>0</v>
      </c>
      <c r="D30" s="13" t="s">
        <v>3</v>
      </c>
      <c r="E30" s="12">
        <f>E29*(1+'Fane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SdlbVCXm7zpRX+jxj8N2XY6WEw4G+/ATVZIC9zQP2n72ttrCJe7Tn9il21YjVBLkW28NYuFrXtFcXYBNVADokQ==" saltValue="xEBX3BNQiLrmQq3u5Dr1Y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228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18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102" t="s">
        <v>12</v>
      </c>
      <c r="C9" s="103"/>
      <c r="D9" s="103"/>
      <c r="E9" s="103"/>
      <c r="F9" s="104"/>
      <c r="G9" s="9">
        <v>44122474</v>
      </c>
      <c r="H9" s="14" t="s">
        <v>3</v>
      </c>
      <c r="I9" s="1"/>
    </row>
    <row r="10" spans="1:9" x14ac:dyDescent="0.25">
      <c r="A10" s="1"/>
      <c r="B10" s="102" t="s">
        <v>135</v>
      </c>
      <c r="C10" s="103"/>
      <c r="D10" s="103"/>
      <c r="E10" s="103"/>
      <c r="F10" s="104"/>
      <c r="G10" s="9">
        <v>0</v>
      </c>
      <c r="H10" s="14" t="s">
        <v>3</v>
      </c>
      <c r="I10" s="1"/>
    </row>
    <row r="11" spans="1:9" x14ac:dyDescent="0.25">
      <c r="A11" s="1"/>
      <c r="B11" s="102" t="s">
        <v>78</v>
      </c>
      <c r="C11" s="103"/>
      <c r="D11" s="103"/>
      <c r="E11" s="103"/>
      <c r="F11" s="104"/>
      <c r="G11" s="9">
        <v>-44122470.5</v>
      </c>
      <c r="H11" s="14" t="s">
        <v>3</v>
      </c>
      <c r="I11" s="1"/>
    </row>
    <row r="12" spans="1:9" x14ac:dyDescent="0.25">
      <c r="A12" s="1"/>
      <c r="B12" s="123" t="s">
        <v>15</v>
      </c>
      <c r="C12" s="124"/>
      <c r="D12" s="124"/>
      <c r="E12" s="124"/>
      <c r="F12" s="125"/>
      <c r="G12" s="19">
        <f>(G9+G10)+G11</f>
        <v>3.5</v>
      </c>
      <c r="H12" s="18" t="s">
        <v>3</v>
      </c>
      <c r="I12" s="1"/>
    </row>
    <row r="13" spans="1:9" x14ac:dyDescent="0.25">
      <c r="A13" s="1"/>
      <c r="B13" s="102" t="s">
        <v>13</v>
      </c>
      <c r="C13" s="103"/>
      <c r="D13" s="103"/>
      <c r="E13" s="103"/>
      <c r="F13" s="104"/>
      <c r="G13" s="9">
        <v>0</v>
      </c>
      <c r="H13" s="14" t="s">
        <v>28</v>
      </c>
      <c r="I13" s="1"/>
    </row>
    <row r="14" spans="1:9" x14ac:dyDescent="0.25">
      <c r="A14" s="1"/>
      <c r="B14" s="93" t="s">
        <v>136</v>
      </c>
      <c r="C14" s="94"/>
      <c r="D14" s="94"/>
      <c r="E14" s="94"/>
      <c r="F14" s="95"/>
      <c r="G14" s="12">
        <f>IF(G13 = 0,0,-G12/G13)</f>
        <v>0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50VWHYqcgFB7UFsMK7vXcQUMZSoBg6wckvBCU7SmtQ1NtleHRJhKpjqABMosmbhUNRvGNOnpd6kW2n7Qcyqr5w==" saltValue="yyzuohAHPAQkfF8hyUzO+g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7.7109375" style="2" customWidth="1"/>
    <col min="3" max="3" width="12.2851562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62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5" t="s">
        <v>20</v>
      </c>
      <c r="C8" s="46"/>
      <c r="D8" s="22"/>
      <c r="E8" s="1"/>
    </row>
    <row r="9" spans="1:5" x14ac:dyDescent="0.25">
      <c r="A9" s="1"/>
      <c r="B9" s="44" t="s">
        <v>35</v>
      </c>
      <c r="C9" s="7">
        <f>'Fane 3. Omkostninger i ØR2019'!E20</f>
        <v>116407896.93688841</v>
      </c>
      <c r="D9" s="8" t="s">
        <v>3</v>
      </c>
      <c r="E9" s="1"/>
    </row>
    <row r="10" spans="1:5" x14ac:dyDescent="0.25">
      <c r="A10" s="1"/>
      <c r="B10" s="49" t="s">
        <v>205</v>
      </c>
      <c r="C10" s="7">
        <f>SUM('Fane 3. Omkostninger i ØR2019'!E10,'Fane 3. Omkostninger i ØR2019'!E12,'Fane 3. Omkostninger i ØR2019'!E14)*(1-'Fane 15. Nøgletal'!C25-'Fane 5. Individuelt eff. krav'!G10)*(1+'Fane 15. Nøgletal'!C11)</f>
        <v>817364.967386181</v>
      </c>
      <c r="D10" s="8" t="s">
        <v>3</v>
      </c>
      <c r="E10" s="1"/>
    </row>
    <row r="11" spans="1:5" x14ac:dyDescent="0.25">
      <c r="A11" s="1"/>
      <c r="B11" s="49" t="s">
        <v>206</v>
      </c>
      <c r="C11" s="7">
        <f>SUM('Fane 3. Omkostninger i ØR2019'!E11,'Fane 3. Omkostninger i ØR2019'!E13,'Fane 3. Omkostninger i ØR2019'!E15)*(1-'Fane 15. Nøgletal'!C19-'Fane 5. Individuelt eff. krav'!G10)*(1+'Fane 15. Nøgletal'!C11)</f>
        <v>1031483.5707816737</v>
      </c>
      <c r="D11" s="8" t="s">
        <v>3</v>
      </c>
      <c r="E11" s="1"/>
    </row>
    <row r="12" spans="1:5" ht="17.100000000000001" customHeight="1" x14ac:dyDescent="0.25">
      <c r="A12" s="1"/>
      <c r="B12" s="50" t="s">
        <v>64</v>
      </c>
      <c r="C12" s="7">
        <f>'Fane 10.1. Varige tillæg'!C14</f>
        <v>1542391.0821</v>
      </c>
      <c r="D12" s="8" t="s">
        <v>3</v>
      </c>
      <c r="E12" s="1"/>
    </row>
    <row r="13" spans="1:5" ht="17.100000000000001" customHeight="1" x14ac:dyDescent="0.25">
      <c r="A13" s="1"/>
      <c r="B13" s="50" t="s">
        <v>65</v>
      </c>
      <c r="C13" s="9">
        <f>'Fane 10.1. Varige tillæg'!E14</f>
        <v>26081.750640000002</v>
      </c>
      <c r="D13" s="8" t="s">
        <v>3</v>
      </c>
      <c r="E13" s="1"/>
    </row>
    <row r="14" spans="1:5" ht="17.100000000000001" customHeight="1" x14ac:dyDescent="0.25">
      <c r="A14" s="1"/>
      <c r="B14" s="50" t="s">
        <v>42</v>
      </c>
      <c r="C14" s="9">
        <f>-'Fane 13. Bortfald'!C12</f>
        <v>0</v>
      </c>
      <c r="D14" s="8" t="s">
        <v>3</v>
      </c>
      <c r="E14" s="1"/>
    </row>
    <row r="15" spans="1:5" ht="17.100000000000001" customHeight="1" x14ac:dyDescent="0.25">
      <c r="A15" s="1"/>
      <c r="B15" s="50" t="s">
        <v>41</v>
      </c>
      <c r="C15" s="9">
        <f>-'Fane 13. Bortfald'!E12</f>
        <v>0</v>
      </c>
      <c r="D15" s="8" t="s">
        <v>3</v>
      </c>
      <c r="E15" s="1"/>
    </row>
    <row r="16" spans="1:5" ht="17.100000000000001" customHeight="1" x14ac:dyDescent="0.25">
      <c r="A16" s="1"/>
      <c r="B16" s="50" t="s">
        <v>44</v>
      </c>
      <c r="C16" s="9">
        <f>'Fane 12. Tilknyttet aktivitet'!C12</f>
        <v>0</v>
      </c>
      <c r="D16" s="8" t="s">
        <v>3</v>
      </c>
      <c r="E16" s="1"/>
    </row>
    <row r="17" spans="1:5" ht="17.100000000000001" customHeight="1" x14ac:dyDescent="0.25">
      <c r="A17" s="1"/>
      <c r="B17" s="50" t="s">
        <v>43</v>
      </c>
      <c r="C17" s="9">
        <f>'Fane 12. Tilknyttet aktivitet'!E12</f>
        <v>0</v>
      </c>
      <c r="D17" s="8" t="s">
        <v>3</v>
      </c>
      <c r="E17" s="1"/>
    </row>
    <row r="18" spans="1:5" ht="17.100000000000001" customHeight="1" x14ac:dyDescent="0.25">
      <c r="A18" s="1"/>
      <c r="B18" s="50" t="s">
        <v>27</v>
      </c>
      <c r="C18" s="9">
        <f>(C9-SUM(C10:C11))*'Fane 15. Nøgletal'!C10+SUM(C10:C11)*'Fane 15. Nøgletal'!C11+SUM('Fane 2.1. Økonomisk ramme 2020'!C12:C17)*'Fane 15. Nøgletal'!C12</f>
        <v>2066927.8020776249</v>
      </c>
      <c r="D18" s="8" t="s">
        <v>3</v>
      </c>
      <c r="E18" s="1"/>
    </row>
    <row r="19" spans="1:5" ht="17.100000000000001" customHeight="1" x14ac:dyDescent="0.25">
      <c r="A19" s="1"/>
      <c r="B19" s="50" t="s">
        <v>10</v>
      </c>
      <c r="C19" s="9">
        <f>-SUM(C9,C12:C18)*'Fane 5. Individuelt eff. krav'!G10</f>
        <v>0</v>
      </c>
      <c r="D19" s="8" t="s">
        <v>3</v>
      </c>
      <c r="E19" s="1"/>
    </row>
    <row r="20" spans="1:5" ht="17.100000000000001" customHeight="1" x14ac:dyDescent="0.25">
      <c r="A20" s="1"/>
      <c r="B20" s="50" t="s">
        <v>39</v>
      </c>
      <c r="C20" s="9">
        <f>-'Fane 4.1. Gen. krav - drift'!G28</f>
        <v>-899663.50327532634</v>
      </c>
      <c r="D20" s="8" t="s">
        <v>3</v>
      </c>
      <c r="E20" s="1"/>
    </row>
    <row r="21" spans="1:5" ht="17.100000000000001" customHeight="1" x14ac:dyDescent="0.25">
      <c r="A21" s="1"/>
      <c r="B21" s="50" t="s">
        <v>40</v>
      </c>
      <c r="C21" s="9">
        <f>-'Fane 4.2. Gen. krav - anlæg'!G26</f>
        <v>-1319408.4983364479</v>
      </c>
      <c r="D21" s="8" t="s">
        <v>3</v>
      </c>
      <c r="E21" s="1"/>
    </row>
    <row r="22" spans="1:5" ht="17.100000000000001" customHeight="1" x14ac:dyDescent="0.25">
      <c r="A22" s="1"/>
      <c r="B22" s="36" t="s">
        <v>29</v>
      </c>
      <c r="C22" s="10">
        <f>SUM(C9,C12:C21)</f>
        <v>117824225.57009427</v>
      </c>
      <c r="D22" s="11" t="s">
        <v>3</v>
      </c>
      <c r="E22" s="1"/>
    </row>
    <row r="23" spans="1:5" ht="15" customHeight="1" x14ac:dyDescent="0.25">
      <c r="A23" s="1"/>
      <c r="B23" s="45" t="s">
        <v>17</v>
      </c>
      <c r="C23" s="46"/>
      <c r="D23" s="22"/>
      <c r="E23" s="1"/>
    </row>
    <row r="24" spans="1:5" ht="15" customHeight="1" x14ac:dyDescent="0.25">
      <c r="A24" s="1"/>
      <c r="B24" s="41" t="s">
        <v>17</v>
      </c>
      <c r="C24" s="10">
        <f>'Fane 6. Ikke-påvirkelige omk.'!C16+'Fane 6. Ikke-påvirkelige omk.'!C20+'Fane 6. Ikke-påvirkelige omk.'!C28</f>
        <v>6086085.2478809506</v>
      </c>
      <c r="D24" s="11" t="s">
        <v>3</v>
      </c>
      <c r="E24" s="1"/>
    </row>
    <row r="25" spans="1:5" ht="15" customHeight="1" x14ac:dyDescent="0.25">
      <c r="A25" s="1"/>
      <c r="B25" s="45" t="s">
        <v>143</v>
      </c>
      <c r="C25" s="46"/>
      <c r="D25" s="22"/>
      <c r="E25" s="1"/>
    </row>
    <row r="26" spans="1:5" ht="15" customHeight="1" x14ac:dyDescent="0.25">
      <c r="A26" s="1"/>
      <c r="B26" s="36" t="s">
        <v>143</v>
      </c>
      <c r="C26" s="10">
        <f>'Fane 11. Periodevise driftsomk.'!E12</f>
        <v>0</v>
      </c>
      <c r="D26" s="11" t="s">
        <v>3</v>
      </c>
      <c r="E26" s="1"/>
    </row>
    <row r="27" spans="1:5" ht="15" customHeight="1" x14ac:dyDescent="0.25">
      <c r="A27" s="1"/>
      <c r="B27" s="45" t="s">
        <v>142</v>
      </c>
      <c r="C27" s="46"/>
      <c r="D27" s="22"/>
      <c r="E27" s="1"/>
    </row>
    <row r="28" spans="1:5" ht="15" customHeight="1" x14ac:dyDescent="0.25">
      <c r="A28" s="1"/>
      <c r="B28" s="50" t="s">
        <v>138</v>
      </c>
      <c r="C28" s="9">
        <f>'Fane 10.2. Engangstillæg'!C14</f>
        <v>0</v>
      </c>
      <c r="D28" s="8" t="s">
        <v>3</v>
      </c>
      <c r="E28" s="1"/>
    </row>
    <row r="29" spans="1:5" ht="15" customHeight="1" x14ac:dyDescent="0.25">
      <c r="A29" s="1"/>
      <c r="B29" s="50" t="s">
        <v>139</v>
      </c>
      <c r="C29" s="9">
        <f>'Fane 10.2. Engangstillæg'!E14</f>
        <v>0</v>
      </c>
      <c r="D29" s="8" t="s">
        <v>3</v>
      </c>
      <c r="E29" s="1"/>
    </row>
    <row r="30" spans="1:5" x14ac:dyDescent="0.25">
      <c r="A30" s="1"/>
      <c r="B30" s="36" t="s">
        <v>145</v>
      </c>
      <c r="C30" s="10">
        <f>SUM(C28:C29)</f>
        <v>0</v>
      </c>
      <c r="D30" s="11" t="s">
        <v>3</v>
      </c>
      <c r="E30" s="1"/>
    </row>
    <row r="31" spans="1:5" x14ac:dyDescent="0.25">
      <c r="A31" s="1"/>
      <c r="B31" s="45" t="s">
        <v>11</v>
      </c>
      <c r="C31" s="46"/>
      <c r="D31" s="22"/>
      <c r="E31" s="1"/>
    </row>
    <row r="32" spans="1:5" ht="15" customHeight="1" x14ac:dyDescent="0.25">
      <c r="A32" s="1"/>
      <c r="B32" s="41" t="s">
        <v>19</v>
      </c>
      <c r="C32" s="10">
        <f>'Fane 14. Hist. over-underdæk.'!G14</f>
        <v>0</v>
      </c>
      <c r="D32" s="11" t="s">
        <v>3</v>
      </c>
      <c r="E32" s="1"/>
    </row>
    <row r="33" spans="1:5" ht="15" customHeight="1" x14ac:dyDescent="0.25">
      <c r="A33" s="1"/>
      <c r="B33" s="45" t="s">
        <v>258</v>
      </c>
      <c r="C33" s="46"/>
      <c r="D33" s="22"/>
      <c r="E33" s="1"/>
    </row>
    <row r="34" spans="1:5" x14ac:dyDescent="0.25">
      <c r="A34" s="1"/>
      <c r="B34" s="41" t="s">
        <v>259</v>
      </c>
      <c r="C34" s="10">
        <f>'Fane 8. Korrektioner'!E20</f>
        <v>-53486.541924098907</v>
      </c>
      <c r="D34" s="11" t="s">
        <v>3</v>
      </c>
      <c r="E34" s="1"/>
    </row>
    <row r="35" spans="1:5" x14ac:dyDescent="0.25">
      <c r="A35" s="1"/>
      <c r="B35" s="45" t="s">
        <v>36</v>
      </c>
      <c r="C35" s="12">
        <f>SUM(C22,C24,C26,C30,C32,C34)</f>
        <v>123856824.27605112</v>
      </c>
      <c r="D35" s="13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MxSvVvpKmCbnVjdnfoeKrhVY3G7i4YxjkrvF6q1T/DhGz8wSpPrOqM+TD0T/ZN8+dBnDHtoZ4uE+sPAWYSERxA==" saltValue="pfZLPRz4y+G9l04NqmE4i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0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4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4" t="s">
        <v>208</v>
      </c>
      <c r="C3" s="84"/>
      <c r="D3" s="1"/>
    </row>
    <row r="4" spans="1:4" ht="25.5" customHeight="1" x14ac:dyDescent="0.25">
      <c r="A4" s="1"/>
      <c r="B4" s="84"/>
      <c r="C4" s="84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5" t="s">
        <v>21</v>
      </c>
      <c r="C8" s="22"/>
      <c r="D8" s="1"/>
    </row>
    <row r="9" spans="1:4" x14ac:dyDescent="0.25">
      <c r="A9" s="1"/>
      <c r="B9" s="47" t="s">
        <v>236</v>
      </c>
      <c r="C9" s="28">
        <v>1.2699999999999999E-2</v>
      </c>
      <c r="D9" s="1"/>
    </row>
    <row r="10" spans="1:4" x14ac:dyDescent="0.25">
      <c r="A10" s="1"/>
      <c r="B10" s="47" t="s">
        <v>237</v>
      </c>
      <c r="C10" s="28">
        <v>1.7500000000000002E-2</v>
      </c>
      <c r="D10" s="1"/>
    </row>
    <row r="11" spans="1:4" x14ac:dyDescent="0.25">
      <c r="A11" s="1"/>
      <c r="B11" s="47" t="s">
        <v>31</v>
      </c>
      <c r="C11" s="28">
        <v>1.6899999999999998E-2</v>
      </c>
      <c r="D11" s="1"/>
    </row>
    <row r="12" spans="1:4" x14ac:dyDescent="0.25">
      <c r="A12" s="1"/>
      <c r="B12" s="32" t="s">
        <v>70</v>
      </c>
      <c r="C12" s="33">
        <v>1.9699999999999999E-2</v>
      </c>
      <c r="D12" s="1"/>
    </row>
    <row r="13" spans="1:4" x14ac:dyDescent="0.25">
      <c r="A13" s="1"/>
      <c r="B13" s="45"/>
      <c r="C13" s="22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5" t="s">
        <v>204</v>
      </c>
      <c r="C16" s="22"/>
      <c r="D16" s="1"/>
    </row>
    <row r="17" spans="1:4" x14ac:dyDescent="0.25">
      <c r="A17" s="1"/>
      <c r="B17" s="47" t="s">
        <v>238</v>
      </c>
      <c r="C17" s="25">
        <v>9.1000000000000004E-3</v>
      </c>
      <c r="D17" s="1"/>
    </row>
    <row r="18" spans="1:4" x14ac:dyDescent="0.25">
      <c r="A18" s="1"/>
      <c r="B18" s="47" t="s">
        <v>240</v>
      </c>
      <c r="C18" s="25">
        <v>1.77E-2</v>
      </c>
      <c r="D18" s="1"/>
    </row>
    <row r="19" spans="1:4" x14ac:dyDescent="0.25">
      <c r="A19" s="1"/>
      <c r="B19" s="47" t="s">
        <v>239</v>
      </c>
      <c r="C19" s="25">
        <v>8.6999999999999994E-3</v>
      </c>
      <c r="D19" s="1"/>
    </row>
    <row r="20" spans="1:4" x14ac:dyDescent="0.25">
      <c r="A20" s="1"/>
      <c r="B20" s="47" t="s">
        <v>241</v>
      </c>
      <c r="C20" s="34">
        <v>2.8400000000000002E-2</v>
      </c>
      <c r="D20" s="1"/>
    </row>
    <row r="21" spans="1:4" x14ac:dyDescent="0.25">
      <c r="A21" s="1"/>
      <c r="B21" s="45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5" t="s">
        <v>203</v>
      </c>
      <c r="C24" s="22"/>
      <c r="D24" s="1"/>
    </row>
    <row r="25" spans="1:4" x14ac:dyDescent="0.25">
      <c r="A25" s="1"/>
      <c r="B25" s="47" t="s">
        <v>242</v>
      </c>
      <c r="C25" s="28">
        <v>0.02</v>
      </c>
      <c r="D25" s="1"/>
    </row>
    <row r="26" spans="1:4" x14ac:dyDescent="0.25">
      <c r="A26" s="1"/>
      <c r="B26" s="45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7/O3RrCxWl8UE9yDr69keAEFArA4LiK2+8VnwJKaZ4fZ4fXAotKjyypTIAh4eYsQekES+gEHBTTSvvm4Jg44og==" saltValue="0CnC9ZgH5raiczvEnvmneg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710937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82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5" t="s">
        <v>20</v>
      </c>
      <c r="C8" s="46"/>
      <c r="D8" s="22"/>
      <c r="E8" s="1"/>
    </row>
    <row r="9" spans="1:5" ht="15" customHeight="1" x14ac:dyDescent="0.25">
      <c r="A9" s="1"/>
      <c r="B9" s="44" t="s">
        <v>37</v>
      </c>
      <c r="C9" s="7">
        <f>'Fane 2.1. Økonomisk ramme 2020'!C22</f>
        <v>117824225.57009427</v>
      </c>
      <c r="D9" s="8" t="s">
        <v>3</v>
      </c>
      <c r="E9" s="1"/>
    </row>
    <row r="10" spans="1:5" ht="15" customHeight="1" x14ac:dyDescent="0.25">
      <c r="A10" s="1"/>
      <c r="B10" s="49" t="s">
        <v>205</v>
      </c>
      <c r="C10" s="7">
        <f>'Fane 2.1. Økonomisk ramme 2020'!C10*(1-'Fane 15. Nøgletal'!C25-'Fane 5. Individuelt eff. krav'!G10)*(1+'Fane 15. Nøgletal'!C11)</f>
        <v>814554.86662830727</v>
      </c>
      <c r="D10" s="8" t="s">
        <v>3</v>
      </c>
      <c r="E10" s="1"/>
    </row>
    <row r="11" spans="1:5" ht="15" customHeight="1" x14ac:dyDescent="0.25">
      <c r="A11" s="1"/>
      <c r="B11" s="49" t="s">
        <v>206</v>
      </c>
      <c r="C11" s="7">
        <f>'Fane 2.1. Økonomisk ramme 2020'!C11*(1-'Fane 15. Nøgletal'!C19-'Fane 5. Individuelt eff. krav'!G10)*(1+'Fane 15. Nøgletal'!C11)</f>
        <v>1039790.0770326712</v>
      </c>
      <c r="D11" s="8" t="s">
        <v>3</v>
      </c>
      <c r="E11" s="1"/>
    </row>
    <row r="12" spans="1:5" ht="15" customHeight="1" x14ac:dyDescent="0.25">
      <c r="A12" s="1"/>
      <c r="B12" s="49" t="s">
        <v>213</v>
      </c>
      <c r="C12" s="7">
        <f>('Fane 2.1. Økonomisk ramme 2020'!C12+'Fane 2.1. Økonomisk ramme 2020'!C14+'Fane 2.1. Økonomisk ramme 2020'!C16)*(1-'Fane 15. Nøgletal'!C25-'Fane 5. Individuelt eff. krav'!G10)*(1+'Fane 15. Nøgletal'!C12)</f>
        <v>1541320.6626890227</v>
      </c>
      <c r="D12" s="8" t="s">
        <v>3</v>
      </c>
      <c r="E12" s="1"/>
    </row>
    <row r="13" spans="1:5" ht="15" customHeight="1" x14ac:dyDescent="0.25">
      <c r="A13" s="1"/>
      <c r="B13" s="49" t="s">
        <v>217</v>
      </c>
      <c r="C13" s="7">
        <f>('Fane 2.1. Økonomisk ramme 2020'!C13+'Fane 2.1. Økonomisk ramme 2020'!C15+'Fane 2.1. Økonomisk ramme 2020'!C17)*(1-'Fane 15. Nøgletal'!C20-'Fane 5. Individuelt eff. krav'!G10)*(1+'Fane 15. Nøgletal'!C12)</f>
        <v>25840.247191583938</v>
      </c>
      <c r="D13" s="8" t="s">
        <v>3</v>
      </c>
      <c r="E13" s="1"/>
    </row>
    <row r="14" spans="1:5" ht="15" customHeight="1" x14ac:dyDescent="0.25">
      <c r="A14" s="1"/>
      <c r="B14" s="50" t="s">
        <v>42</v>
      </c>
      <c r="C14" s="7">
        <f>-'Fane 13. Bortfald'!C18</f>
        <v>0</v>
      </c>
      <c r="D14" s="8" t="s">
        <v>3</v>
      </c>
      <c r="E14" s="1"/>
    </row>
    <row r="15" spans="1:5" ht="15" customHeight="1" x14ac:dyDescent="0.25">
      <c r="A15" s="1"/>
      <c r="B15" s="50" t="s">
        <v>41</v>
      </c>
      <c r="C15" s="7">
        <f>-'Fane 13. Bortfald'!E18</f>
        <v>0</v>
      </c>
      <c r="D15" s="8" t="s">
        <v>3</v>
      </c>
      <c r="E15" s="1"/>
    </row>
    <row r="16" spans="1:5" ht="15" customHeight="1" x14ac:dyDescent="0.25">
      <c r="A16" s="1"/>
      <c r="B16" s="37" t="s">
        <v>27</v>
      </c>
      <c r="C16" s="9">
        <f>(C9-SUM(C10:C13))*'Fane 15. Nøgletal'!C10+SUM(C10:C11)*'Fane 15. Nøgletal'!C11+SUM(C12:C15)*'Fane 15. Nøgletal'!C12</f>
        <v>2064259.0945121907</v>
      </c>
      <c r="D16" s="8" t="s">
        <v>3</v>
      </c>
      <c r="E16" s="1"/>
    </row>
    <row r="17" spans="1:5" ht="15" customHeight="1" x14ac:dyDescent="0.25">
      <c r="A17" s="1"/>
      <c r="B17" s="37" t="s">
        <v>10</v>
      </c>
      <c r="C17" s="9">
        <f>-SUM(C9,C14:C16)*'Fane 5. Individuelt eff. krav'!G10</f>
        <v>0</v>
      </c>
      <c r="D17" s="8" t="s">
        <v>3</v>
      </c>
      <c r="E17" s="1"/>
    </row>
    <row r="18" spans="1:5" ht="15" customHeight="1" x14ac:dyDescent="0.25">
      <c r="A18" s="1"/>
      <c r="B18" s="37" t="s">
        <v>39</v>
      </c>
      <c r="C18" s="9">
        <f>-'Fane 4.1. Gen. krav - drift'!G36</f>
        <v>-897157.50574175047</v>
      </c>
      <c r="D18" s="8" t="s">
        <v>3</v>
      </c>
      <c r="E18" s="1"/>
    </row>
    <row r="19" spans="1:5" ht="15" customHeight="1" x14ac:dyDescent="0.25">
      <c r="A19" s="1"/>
      <c r="B19" s="37" t="s">
        <v>40</v>
      </c>
      <c r="C19" s="9">
        <f>-'Fane 4.2. Gen. krav - anlæg'!G34</f>
        <v>-1318807.4607287301</v>
      </c>
      <c r="D19" s="8" t="s">
        <v>3</v>
      </c>
      <c r="E19" s="1"/>
    </row>
    <row r="20" spans="1:5" ht="15" customHeight="1" x14ac:dyDescent="0.25">
      <c r="A20" s="1"/>
      <c r="B20" s="38" t="s">
        <v>29</v>
      </c>
      <c r="C20" s="10">
        <f>SUM(C9,C14:C19)</f>
        <v>117672519.69813599</v>
      </c>
      <c r="D20" s="11" t="s">
        <v>3</v>
      </c>
      <c r="E20" s="1"/>
    </row>
    <row r="21" spans="1:5" x14ac:dyDescent="0.25">
      <c r="A21" s="1"/>
      <c r="B21" s="45" t="s">
        <v>17</v>
      </c>
      <c r="C21" s="46"/>
      <c r="D21" s="22"/>
      <c r="E21" s="1"/>
    </row>
    <row r="22" spans="1:5" ht="15" customHeight="1" x14ac:dyDescent="0.25">
      <c r="A22" s="1"/>
      <c r="B22" s="41" t="s">
        <v>17</v>
      </c>
      <c r="C22" s="10">
        <f>'Fane 6. Ikke-påvirkelige omk.'!C16*(1+'Fane 15. Nøgletal'!C12)+'Fane 6. Ikke-påvirkelige omk.'!C21+'Fane 6. Ikke-påvirkelige omk.'!C29</f>
        <v>6172818.5023642052</v>
      </c>
      <c r="D22" s="11" t="s">
        <v>3</v>
      </c>
      <c r="E22" s="1"/>
    </row>
    <row r="23" spans="1:5" ht="15" customHeight="1" x14ac:dyDescent="0.25">
      <c r="A23" s="1"/>
      <c r="B23" s="45" t="s">
        <v>143</v>
      </c>
      <c r="C23" s="46"/>
      <c r="D23" s="22"/>
      <c r="E23" s="1"/>
    </row>
    <row r="24" spans="1:5" ht="15" customHeight="1" x14ac:dyDescent="0.25">
      <c r="A24" s="1"/>
      <c r="B24" s="36" t="s">
        <v>144</v>
      </c>
      <c r="C24" s="10">
        <f>'Fane 11. Periodevise driftsomk.'!E18</f>
        <v>0</v>
      </c>
      <c r="D24" s="11" t="s">
        <v>3</v>
      </c>
      <c r="E24" s="1"/>
    </row>
    <row r="25" spans="1:5" ht="15" customHeight="1" x14ac:dyDescent="0.25">
      <c r="A25" s="1"/>
      <c r="B25" s="45" t="s">
        <v>142</v>
      </c>
      <c r="C25" s="46"/>
      <c r="D25" s="22"/>
      <c r="E25" s="1"/>
    </row>
    <row r="26" spans="1:5" ht="15" customHeight="1" x14ac:dyDescent="0.25">
      <c r="A26" s="1"/>
      <c r="B26" s="50" t="s">
        <v>138</v>
      </c>
      <c r="C26" s="9">
        <f>'Fane 10.2. Engangstillæg'!C22</f>
        <v>0</v>
      </c>
      <c r="D26" s="8" t="s">
        <v>3</v>
      </c>
      <c r="E26" s="1"/>
    </row>
    <row r="27" spans="1:5" ht="15" customHeight="1" x14ac:dyDescent="0.25">
      <c r="A27" s="1"/>
      <c r="B27" s="50" t="s">
        <v>139</v>
      </c>
      <c r="C27" s="9">
        <f>'Fane 10.2. Engangstillæg'!E22</f>
        <v>0</v>
      </c>
      <c r="D27" s="8" t="s">
        <v>3</v>
      </c>
      <c r="E27" s="1"/>
    </row>
    <row r="28" spans="1:5" ht="15" customHeight="1" x14ac:dyDescent="0.25">
      <c r="A28" s="1"/>
      <c r="B28" s="36" t="s">
        <v>145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45" t="s">
        <v>45</v>
      </c>
      <c r="C29" s="12">
        <f>SUM(C20,C22,C24,C28,)</f>
        <v>123845338.20050019</v>
      </c>
      <c r="D29" s="13" t="s">
        <v>3</v>
      </c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cr9iRH/p+Y/8xEFT2PjiT8j+0z+UyT/xBXtqBYT0Hxx5u0lNl/BcDg3VNE/rPTsZJNe/T840oD9vdwb04PV15Q==" saltValue="UyFWnZ/4UGqnzOH0Typ3x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215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74" t="s">
        <v>30</v>
      </c>
      <c r="C5" s="74"/>
      <c r="D5" s="74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5" t="s">
        <v>20</v>
      </c>
      <c r="C7" s="46"/>
      <c r="D7" s="22"/>
      <c r="E7" s="1"/>
    </row>
    <row r="8" spans="1:5" ht="15" customHeight="1" x14ac:dyDescent="0.25">
      <c r="A8" s="1"/>
      <c r="B8" s="44" t="s">
        <v>38</v>
      </c>
      <c r="C8" s="7">
        <f>'Fane 2.2. Økonomisk ramme 2021'!C20</f>
        <v>117672519.69813599</v>
      </c>
      <c r="D8" s="8" t="s">
        <v>3</v>
      </c>
      <c r="E8" s="1"/>
    </row>
    <row r="9" spans="1:5" ht="15" customHeight="1" x14ac:dyDescent="0.25">
      <c r="A9" s="1"/>
      <c r="B9" s="44" t="s">
        <v>42</v>
      </c>
      <c r="C9" s="7">
        <f>-'Fane 13. Bortfald'!C24</f>
        <v>0</v>
      </c>
      <c r="D9" s="8" t="s">
        <v>3</v>
      </c>
      <c r="E9" s="1"/>
    </row>
    <row r="10" spans="1:5" ht="15" customHeight="1" x14ac:dyDescent="0.25">
      <c r="A10" s="1"/>
      <c r="B10" s="44" t="s">
        <v>41</v>
      </c>
      <c r="C10" s="7">
        <f>-'Fane 13. Bortfald'!E24</f>
        <v>0</v>
      </c>
      <c r="D10" s="8" t="s">
        <v>3</v>
      </c>
      <c r="E10" s="1"/>
    </row>
    <row r="11" spans="1:5" ht="15" customHeight="1" x14ac:dyDescent="0.25">
      <c r="A11" s="1"/>
      <c r="B11" s="37" t="s">
        <v>27</v>
      </c>
      <c r="C11" s="9">
        <f>SUM(C8:C10)*'Fane 15. Nøgletal'!C12</f>
        <v>2318148.6380532789</v>
      </c>
      <c r="D11" s="8" t="s">
        <v>3</v>
      </c>
      <c r="E11" s="1"/>
    </row>
    <row r="12" spans="1:5" ht="15" customHeight="1" x14ac:dyDescent="0.25">
      <c r="A12" s="1"/>
      <c r="B12" s="37" t="s">
        <v>10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37" t="s">
        <v>39</v>
      </c>
      <c r="C13" s="9">
        <f>-'Fane 4.1. Gen. krav - drift'!G42</f>
        <v>-896534.8784327656</v>
      </c>
      <c r="D13" s="8" t="s">
        <v>3</v>
      </c>
      <c r="E13" s="1"/>
    </row>
    <row r="14" spans="1:5" ht="15" customHeight="1" x14ac:dyDescent="0.25">
      <c r="A14" s="1"/>
      <c r="B14" s="37" t="s">
        <v>40</v>
      </c>
      <c r="C14" s="9">
        <f>-'Fane 4.2. Gen. krav - anlæg'!G40</f>
        <v>-2134655.4533732482</v>
      </c>
      <c r="D14" s="8" t="s">
        <v>3</v>
      </c>
      <c r="E14" s="1"/>
    </row>
    <row r="15" spans="1:5" x14ac:dyDescent="0.25">
      <c r="A15" s="1"/>
      <c r="B15" s="38" t="s">
        <v>29</v>
      </c>
      <c r="C15" s="10">
        <f>SUM(C8:C14)</f>
        <v>116959478.00438325</v>
      </c>
      <c r="D15" s="11" t="s">
        <v>3</v>
      </c>
      <c r="E15" s="1"/>
    </row>
    <row r="16" spans="1:5" x14ac:dyDescent="0.25">
      <c r="A16" s="1"/>
      <c r="B16" s="45" t="s">
        <v>17</v>
      </c>
      <c r="C16" s="46"/>
      <c r="D16" s="22"/>
      <c r="E16" s="1"/>
    </row>
    <row r="17" spans="1:5" ht="15" customHeight="1" x14ac:dyDescent="0.25">
      <c r="A17" s="1"/>
      <c r="B17" s="41" t="s">
        <v>17</v>
      </c>
      <c r="C17" s="10">
        <f>'Fane 6. Ikke-påvirkelige omk.'!C16*(1+'Fane 15. Nøgletal'!C12)^2+'Fane 6. Ikke-påvirkelige omk.'!C22+'Fane 6. Ikke-påvirkelige omk.'!C30</f>
        <v>6261276.0193607807</v>
      </c>
      <c r="D17" s="11" t="s">
        <v>3</v>
      </c>
      <c r="E17" s="1"/>
    </row>
    <row r="18" spans="1:5" ht="15" customHeight="1" x14ac:dyDescent="0.25">
      <c r="A18" s="1"/>
      <c r="B18" s="45" t="s">
        <v>143</v>
      </c>
      <c r="C18" s="46"/>
      <c r="D18" s="22"/>
      <c r="E18" s="1"/>
    </row>
    <row r="19" spans="1:5" ht="15" customHeight="1" x14ac:dyDescent="0.25">
      <c r="A19" s="1"/>
      <c r="B19" s="36" t="s">
        <v>144</v>
      </c>
      <c r="C19" s="10">
        <f>'Fane 11. Periodevise driftsomk.'!E24</f>
        <v>0</v>
      </c>
      <c r="D19" s="11" t="s">
        <v>3</v>
      </c>
      <c r="E19" s="1"/>
    </row>
    <row r="20" spans="1:5" ht="15" customHeight="1" x14ac:dyDescent="0.25">
      <c r="A20" s="1"/>
      <c r="B20" s="45" t="s">
        <v>142</v>
      </c>
      <c r="C20" s="46"/>
      <c r="D20" s="22"/>
      <c r="E20" s="1"/>
    </row>
    <row r="21" spans="1:5" ht="15" customHeight="1" x14ac:dyDescent="0.25">
      <c r="A21" s="1"/>
      <c r="B21" s="50" t="s">
        <v>138</v>
      </c>
      <c r="C21" s="9">
        <f>'Fane 10.2. Engangstillæg'!C30</f>
        <v>0</v>
      </c>
      <c r="D21" s="8" t="s">
        <v>3</v>
      </c>
      <c r="E21" s="1"/>
    </row>
    <row r="22" spans="1:5" ht="15" customHeight="1" x14ac:dyDescent="0.25">
      <c r="A22" s="1"/>
      <c r="B22" s="50" t="s">
        <v>139</v>
      </c>
      <c r="C22" s="9">
        <f>'Fane 10.2. Engangstillæg'!E30</f>
        <v>0</v>
      </c>
      <c r="D22" s="8" t="s">
        <v>3</v>
      </c>
      <c r="E22" s="1"/>
    </row>
    <row r="23" spans="1:5" ht="15" customHeight="1" x14ac:dyDescent="0.25">
      <c r="A23" s="1"/>
      <c r="B23" s="36" t="s">
        <v>145</v>
      </c>
      <c r="C23" s="10">
        <f>SUM(C21:C22)</f>
        <v>0</v>
      </c>
      <c r="D23" s="11" t="s">
        <v>3</v>
      </c>
      <c r="E23" s="1"/>
    </row>
    <row r="24" spans="1:5" ht="15" customHeight="1" x14ac:dyDescent="0.25">
      <c r="A24" s="1"/>
      <c r="B24" s="45" t="s">
        <v>171</v>
      </c>
      <c r="C24" s="46"/>
      <c r="D24" s="22"/>
      <c r="E24" s="1"/>
    </row>
    <row r="25" spans="1:5" ht="15" customHeight="1" x14ac:dyDescent="0.25">
      <c r="A25" s="1"/>
      <c r="B25" s="41" t="s">
        <v>211</v>
      </c>
      <c r="C25" s="10">
        <f>'Fane 7. Kontrol af ØR2018'!E28</f>
        <v>0</v>
      </c>
      <c r="D25" s="11" t="s">
        <v>3</v>
      </c>
      <c r="E25" s="1"/>
    </row>
    <row r="26" spans="1:5" x14ac:dyDescent="0.25">
      <c r="A26" s="1"/>
      <c r="B26" s="45" t="s">
        <v>46</v>
      </c>
      <c r="C26" s="12">
        <f>SUM(C15,C17,C19,C23,C25)</f>
        <v>123220754.02374403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SxM/0BLWjrreZXSNq/ixVcVoW500PKhOKmI6Rc0bzp4lTD1LfPiQ7rAF6iW6WEaPtz/95lW3XX9mbVuemBtFyw==" saltValue="jjxAdQ5I3CCSYc1CejX8R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8554687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216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74" t="s">
        <v>30</v>
      </c>
      <c r="C5" s="74"/>
      <c r="D5" s="74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5" t="s">
        <v>20</v>
      </c>
      <c r="C7" s="46"/>
      <c r="D7" s="22"/>
      <c r="E7" s="1"/>
    </row>
    <row r="8" spans="1:5" ht="15" customHeight="1" x14ac:dyDescent="0.25">
      <c r="A8" s="1"/>
      <c r="B8" s="44" t="s">
        <v>220</v>
      </c>
      <c r="C8" s="7">
        <f>'Fane 2.3. Økonomisk ramme 2022'!C15</f>
        <v>116959478.00438325</v>
      </c>
      <c r="D8" s="8" t="s">
        <v>3</v>
      </c>
      <c r="E8" s="1"/>
    </row>
    <row r="9" spans="1:5" ht="15" customHeight="1" x14ac:dyDescent="0.25">
      <c r="A9" s="1"/>
      <c r="B9" s="44" t="s">
        <v>42</v>
      </c>
      <c r="C9" s="7">
        <f>-'Fane 13. Bortfald'!C30</f>
        <v>0</v>
      </c>
      <c r="D9" s="8" t="s">
        <v>3</v>
      </c>
      <c r="E9" s="1"/>
    </row>
    <row r="10" spans="1:5" ht="15" customHeight="1" x14ac:dyDescent="0.25">
      <c r="A10" s="1"/>
      <c r="B10" s="44" t="s">
        <v>41</v>
      </c>
      <c r="C10" s="7">
        <f>-'Fane 13. Bortfald'!E30</f>
        <v>0</v>
      </c>
      <c r="D10" s="8" t="s">
        <v>3</v>
      </c>
      <c r="E10" s="1"/>
    </row>
    <row r="11" spans="1:5" ht="15" customHeight="1" x14ac:dyDescent="0.25">
      <c r="A11" s="1"/>
      <c r="B11" s="37" t="s">
        <v>27</v>
      </c>
      <c r="C11" s="9">
        <f>C8*'Fane 15. Nøgletal'!C12</f>
        <v>2304101.7166863498</v>
      </c>
      <c r="D11" s="8" t="s">
        <v>3</v>
      </c>
      <c r="E11" s="1"/>
    </row>
    <row r="12" spans="1:5" ht="15" customHeight="1" x14ac:dyDescent="0.25">
      <c r="A12" s="1"/>
      <c r="B12" s="37" t="s">
        <v>10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37" t="s">
        <v>39</v>
      </c>
      <c r="C13" s="9">
        <f>-'Fane 4.1. Gen. krav - drift'!G48</f>
        <v>-895912.68322713336</v>
      </c>
      <c r="D13" s="8" t="s">
        <v>3</v>
      </c>
      <c r="E13" s="1"/>
    </row>
    <row r="14" spans="1:5" ht="15" customHeight="1" x14ac:dyDescent="0.25">
      <c r="A14" s="1"/>
      <c r="B14" s="37" t="s">
        <v>40</v>
      </c>
      <c r="C14" s="9">
        <f>-'Fane 4.2. Gen. krav - anlæg'!G46</f>
        <v>-2114889.653895848</v>
      </c>
      <c r="D14" s="8" t="s">
        <v>3</v>
      </c>
      <c r="E14" s="1"/>
    </row>
    <row r="15" spans="1:5" x14ac:dyDescent="0.25">
      <c r="A15" s="1"/>
      <c r="B15" s="38" t="s">
        <v>29</v>
      </c>
      <c r="C15" s="10">
        <f>SUM(C8:C14)</f>
        <v>116252777.38394661</v>
      </c>
      <c r="D15" s="11" t="s">
        <v>3</v>
      </c>
      <c r="E15" s="1"/>
    </row>
    <row r="16" spans="1:5" x14ac:dyDescent="0.25">
      <c r="A16" s="1"/>
      <c r="B16" s="45" t="s">
        <v>17</v>
      </c>
      <c r="C16" s="46"/>
      <c r="D16" s="22"/>
      <c r="E16" s="1"/>
    </row>
    <row r="17" spans="1:5" ht="15" customHeight="1" x14ac:dyDescent="0.25">
      <c r="A17" s="1"/>
      <c r="B17" s="41" t="s">
        <v>17</v>
      </c>
      <c r="C17" s="10">
        <f>'Fane 6. Ikke-påvirkelige omk.'!C16*(1+'Fane 15. Nøgletal'!C12)^3+'Fane 6. Ikke-påvirkelige omk.'!C23+'Fane 6. Ikke-påvirkelige omk.'!C31</f>
        <v>6351486.7471421873</v>
      </c>
      <c r="D17" s="11" t="s">
        <v>3</v>
      </c>
      <c r="E17" s="1"/>
    </row>
    <row r="18" spans="1:5" ht="15" customHeight="1" x14ac:dyDescent="0.25">
      <c r="A18" s="1"/>
      <c r="B18" s="45" t="s">
        <v>143</v>
      </c>
      <c r="C18" s="46"/>
      <c r="D18" s="22"/>
      <c r="E18" s="1"/>
    </row>
    <row r="19" spans="1:5" ht="15" customHeight="1" x14ac:dyDescent="0.25">
      <c r="A19" s="1"/>
      <c r="B19" s="36" t="s">
        <v>144</v>
      </c>
      <c r="C19" s="10">
        <f>'Fane 11. Periodevise driftsomk.'!E30</f>
        <v>0</v>
      </c>
      <c r="D19" s="11" t="s">
        <v>3</v>
      </c>
      <c r="E19" s="1"/>
    </row>
    <row r="20" spans="1:5" ht="15" customHeight="1" x14ac:dyDescent="0.25">
      <c r="A20" s="1"/>
      <c r="B20" s="45" t="s">
        <v>142</v>
      </c>
      <c r="C20" s="46"/>
      <c r="D20" s="22"/>
      <c r="E20" s="1"/>
    </row>
    <row r="21" spans="1:5" ht="15" customHeight="1" x14ac:dyDescent="0.25">
      <c r="A21" s="1"/>
      <c r="B21" s="50" t="s">
        <v>138</v>
      </c>
      <c r="C21" s="9">
        <f>'Fane 10.2. Engangstillæg'!C38</f>
        <v>0</v>
      </c>
      <c r="D21" s="8" t="s">
        <v>3</v>
      </c>
      <c r="E21" s="1"/>
    </row>
    <row r="22" spans="1:5" ht="15" customHeight="1" x14ac:dyDescent="0.25">
      <c r="A22" s="1"/>
      <c r="B22" s="50" t="s">
        <v>139</v>
      </c>
      <c r="C22" s="9">
        <f>'Fane 10.2. Engangstillæg'!E38</f>
        <v>0</v>
      </c>
      <c r="D22" s="8" t="s">
        <v>3</v>
      </c>
      <c r="E22" s="1"/>
    </row>
    <row r="23" spans="1:5" ht="15" customHeight="1" x14ac:dyDescent="0.25">
      <c r="A23" s="1"/>
      <c r="B23" s="36" t="s">
        <v>145</v>
      </c>
      <c r="C23" s="10">
        <f>SUM(C21:C22)</f>
        <v>0</v>
      </c>
      <c r="D23" s="11" t="s">
        <v>3</v>
      </c>
      <c r="E23" s="1"/>
    </row>
    <row r="24" spans="1:5" ht="15" customHeight="1" x14ac:dyDescent="0.25">
      <c r="A24" s="1"/>
      <c r="B24" s="45" t="s">
        <v>171</v>
      </c>
      <c r="C24" s="46"/>
      <c r="D24" s="22"/>
      <c r="E24" s="1"/>
    </row>
    <row r="25" spans="1:5" ht="15" customHeight="1" x14ac:dyDescent="0.25">
      <c r="A25" s="1"/>
      <c r="B25" s="41" t="s">
        <v>211</v>
      </c>
      <c r="C25" s="10">
        <f>'Fane 2.3. Økonomisk ramme 2022'!C25</f>
        <v>0</v>
      </c>
      <c r="D25" s="11" t="s">
        <v>3</v>
      </c>
      <c r="E25" s="1"/>
    </row>
    <row r="26" spans="1:5" x14ac:dyDescent="0.25">
      <c r="A26" s="1"/>
      <c r="B26" s="45" t="s">
        <v>156</v>
      </c>
      <c r="C26" s="12">
        <f>SUM(C15,C17,C19,C23,C25)</f>
        <v>122604264.13108879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KL77/5ak1nKIhsrHGoTlmRGj8sap362eNt4sky0FHBYf0Kce82/vM7edhx+SNanF2AQdZLJSphFlV3CqR2PpJQ==" saltValue="3X7AaULkQJqUAASKyTFzw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" style="2" customWidth="1"/>
    <col min="5" max="5" width="10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254</v>
      </c>
      <c r="C3" s="84"/>
      <c r="D3" s="84"/>
      <c r="E3" s="84"/>
      <c r="F3" s="84"/>
      <c r="G3" s="1"/>
    </row>
    <row r="4" spans="1:7" ht="29.2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5" t="s">
        <v>81</v>
      </c>
      <c r="C8" s="46"/>
      <c r="D8" s="46"/>
      <c r="E8" s="46"/>
      <c r="F8" s="22"/>
      <c r="G8" s="1"/>
    </row>
    <row r="9" spans="1:7" x14ac:dyDescent="0.25">
      <c r="A9" s="1"/>
      <c r="B9" s="85" t="s">
        <v>79</v>
      </c>
      <c r="C9" s="86"/>
      <c r="D9" s="87"/>
      <c r="E9" s="7">
        <v>114715736.85734876</v>
      </c>
      <c r="F9" s="8" t="s">
        <v>3</v>
      </c>
      <c r="G9" s="1"/>
    </row>
    <row r="10" spans="1:7" x14ac:dyDescent="0.25">
      <c r="A10" s="1"/>
      <c r="B10" s="88" t="s">
        <v>64</v>
      </c>
      <c r="C10" s="89"/>
      <c r="D10" s="90"/>
      <c r="E10" s="7">
        <v>820184.7625999999</v>
      </c>
      <c r="F10" s="8" t="s">
        <v>3</v>
      </c>
      <c r="G10" s="1"/>
    </row>
    <row r="11" spans="1:7" x14ac:dyDescent="0.25">
      <c r="A11" s="1"/>
      <c r="B11" s="88" t="s">
        <v>65</v>
      </c>
      <c r="C11" s="89"/>
      <c r="D11" s="90"/>
      <c r="E11" s="9">
        <v>1023243.4221999999</v>
      </c>
      <c r="F11" s="8" t="s">
        <v>3</v>
      </c>
      <c r="G11" s="1"/>
    </row>
    <row r="12" spans="1:7" x14ac:dyDescent="0.25">
      <c r="A12" s="1"/>
      <c r="B12" s="88" t="s">
        <v>42</v>
      </c>
      <c r="C12" s="89"/>
      <c r="D12" s="90"/>
      <c r="E12" s="9">
        <v>0</v>
      </c>
      <c r="F12" s="8" t="s">
        <v>3</v>
      </c>
      <c r="G12" s="1"/>
    </row>
    <row r="13" spans="1:7" x14ac:dyDescent="0.25">
      <c r="A13" s="1"/>
      <c r="B13" s="88" t="s">
        <v>41</v>
      </c>
      <c r="C13" s="89"/>
      <c r="D13" s="90"/>
      <c r="E13" s="9">
        <v>0</v>
      </c>
      <c r="F13" s="8" t="s">
        <v>3</v>
      </c>
      <c r="G13" s="1"/>
    </row>
    <row r="14" spans="1:7" x14ac:dyDescent="0.25">
      <c r="A14" s="1"/>
      <c r="B14" s="88" t="s">
        <v>44</v>
      </c>
      <c r="C14" s="89"/>
      <c r="D14" s="90"/>
      <c r="E14" s="9">
        <v>0</v>
      </c>
      <c r="F14" s="8" t="s">
        <v>3</v>
      </c>
      <c r="G14" s="1"/>
    </row>
    <row r="15" spans="1:7" x14ac:dyDescent="0.25">
      <c r="A15" s="1"/>
      <c r="B15" s="88" t="s">
        <v>43</v>
      </c>
      <c r="C15" s="89"/>
      <c r="D15" s="90"/>
      <c r="E15" s="9">
        <v>0</v>
      </c>
      <c r="F15" s="8" t="s">
        <v>3</v>
      </c>
      <c r="G15" s="1"/>
    </row>
    <row r="16" spans="1:7" x14ac:dyDescent="0.25">
      <c r="A16" s="1"/>
      <c r="B16" s="88" t="s">
        <v>27</v>
      </c>
      <c r="C16" s="89"/>
      <c r="D16" s="90"/>
      <c r="E16" s="9">
        <f>E9*'Fane 15. Nøgletal'!C10+SUM(E10:E15)*'Fane 15. Nøgletal'!C11</f>
        <v>2038679.3313267233</v>
      </c>
      <c r="F16" s="8" t="s">
        <v>3</v>
      </c>
      <c r="G16" s="1"/>
    </row>
    <row r="17" spans="1:7" x14ac:dyDescent="0.25">
      <c r="A17" s="1"/>
      <c r="B17" s="88" t="s">
        <v>10</v>
      </c>
      <c r="C17" s="89"/>
      <c r="D17" s="90"/>
      <c r="E17" s="9">
        <f>-SUM(E9:E16)*'Fane 5. Individuelt eff. krav'!G10</f>
        <v>0</v>
      </c>
      <c r="F17" s="8" t="s">
        <v>3</v>
      </c>
      <c r="G17" s="1"/>
    </row>
    <row r="18" spans="1:7" x14ac:dyDescent="0.25">
      <c r="A18" s="1"/>
      <c r="B18" s="88" t="s">
        <v>39</v>
      </c>
      <c r="C18" s="89"/>
      <c r="D18" s="90"/>
      <c r="E18" s="9">
        <f>-'Fane 4.1. Gen. krav - drift'!G21</f>
        <v>-870699.28087708715</v>
      </c>
      <c r="F18" s="8" t="s">
        <v>3</v>
      </c>
      <c r="G18" s="1"/>
    </row>
    <row r="19" spans="1:7" x14ac:dyDescent="0.25">
      <c r="A19" s="1"/>
      <c r="B19" s="88" t="s">
        <v>40</v>
      </c>
      <c r="C19" s="89"/>
      <c r="D19" s="90"/>
      <c r="E19" s="9">
        <f>-'Fane 4.2. Gen. krav - anlæg'!G19</f>
        <v>-1319248.1557099777</v>
      </c>
      <c r="F19" s="8" t="s">
        <v>3</v>
      </c>
      <c r="G19" s="1"/>
    </row>
    <row r="20" spans="1:7" x14ac:dyDescent="0.25">
      <c r="A20" s="1"/>
      <c r="B20" s="99" t="s">
        <v>29</v>
      </c>
      <c r="C20" s="100"/>
      <c r="D20" s="101"/>
      <c r="E20" s="10">
        <f>SUM(E9:E19)</f>
        <v>116407896.93688841</v>
      </c>
      <c r="F20" s="11" t="s">
        <v>3</v>
      </c>
      <c r="G20" s="1"/>
    </row>
    <row r="21" spans="1:7" x14ac:dyDescent="0.25">
      <c r="A21" s="1"/>
      <c r="B21" s="93" t="s">
        <v>143</v>
      </c>
      <c r="C21" s="94"/>
      <c r="D21" s="94"/>
      <c r="E21" s="94"/>
      <c r="F21" s="95"/>
      <c r="G21" s="1"/>
    </row>
    <row r="22" spans="1:7" x14ac:dyDescent="0.25">
      <c r="A22" s="1"/>
      <c r="B22" s="75" t="s">
        <v>250</v>
      </c>
      <c r="C22" s="76"/>
      <c r="D22" s="77"/>
      <c r="E22" s="35">
        <v>0</v>
      </c>
      <c r="F22" s="8" t="s">
        <v>3</v>
      </c>
      <c r="G22" s="1"/>
    </row>
    <row r="23" spans="1:7" x14ac:dyDescent="0.25">
      <c r="A23" s="1"/>
      <c r="B23" s="75" t="s">
        <v>251</v>
      </c>
      <c r="C23" s="76"/>
      <c r="D23" s="77"/>
      <c r="E23" s="35">
        <f>-E22*('Fane 15. Nøgletal'!C25+'Fane 5. Individuelt eff. krav'!G10)</f>
        <v>0</v>
      </c>
      <c r="F23" s="8" t="s">
        <v>3</v>
      </c>
      <c r="G23" s="1"/>
    </row>
    <row r="24" spans="1:7" x14ac:dyDescent="0.25">
      <c r="A24" s="1"/>
      <c r="B24" s="96" t="s">
        <v>252</v>
      </c>
      <c r="C24" s="97"/>
      <c r="D24" s="98"/>
      <c r="E24" s="10">
        <f>SUM(E22:E23)</f>
        <v>0</v>
      </c>
      <c r="F24" s="11" t="s">
        <v>3</v>
      </c>
      <c r="G24" s="1"/>
    </row>
    <row r="25" spans="1:7" x14ac:dyDescent="0.25">
      <c r="A25" s="1"/>
      <c r="B25" s="91" t="s">
        <v>17</v>
      </c>
      <c r="C25" s="92"/>
      <c r="D25" s="92"/>
      <c r="E25" s="46"/>
      <c r="F25" s="22"/>
      <c r="G25" s="1"/>
    </row>
    <row r="26" spans="1:7" x14ac:dyDescent="0.25">
      <c r="A26" s="1"/>
      <c r="B26" s="81" t="s">
        <v>17</v>
      </c>
      <c r="C26" s="82"/>
      <c r="D26" s="83"/>
      <c r="E26" s="10">
        <v>6168454.2933077887</v>
      </c>
      <c r="F26" s="11" t="s">
        <v>3</v>
      </c>
      <c r="G26" s="1"/>
    </row>
    <row r="27" spans="1:7" x14ac:dyDescent="0.25">
      <c r="A27" s="1"/>
      <c r="B27" s="45" t="s">
        <v>80</v>
      </c>
      <c r="C27" s="46"/>
      <c r="D27" s="46"/>
      <c r="E27" s="46"/>
      <c r="F27" s="22"/>
      <c r="G27" s="1"/>
    </row>
    <row r="28" spans="1:7" ht="27" customHeight="1" x14ac:dyDescent="0.25">
      <c r="A28" s="1"/>
      <c r="B28" s="78" t="s">
        <v>132</v>
      </c>
      <c r="C28" s="79"/>
      <c r="D28" s="80"/>
      <c r="E28" s="10">
        <v>-32596.794801020595</v>
      </c>
      <c r="F28" s="11" t="s">
        <v>3</v>
      </c>
      <c r="G28" s="1"/>
    </row>
    <row r="29" spans="1:7" x14ac:dyDescent="0.25">
      <c r="A29" s="1"/>
      <c r="B29" s="45" t="s">
        <v>11</v>
      </c>
      <c r="C29" s="46"/>
      <c r="D29" s="46"/>
      <c r="E29" s="46"/>
      <c r="F29" s="22"/>
      <c r="G29" s="1"/>
    </row>
    <row r="30" spans="1:7" x14ac:dyDescent="0.25">
      <c r="A30" s="1"/>
      <c r="B30" s="81" t="s">
        <v>19</v>
      </c>
      <c r="C30" s="82"/>
      <c r="D30" s="83"/>
      <c r="E30" s="10">
        <v>0</v>
      </c>
      <c r="F30" s="11" t="s">
        <v>3</v>
      </c>
      <c r="G30" s="1"/>
    </row>
    <row r="31" spans="1:7" x14ac:dyDescent="0.25">
      <c r="A31" s="1"/>
      <c r="B31" s="45" t="s">
        <v>24</v>
      </c>
      <c r="C31" s="46"/>
      <c r="D31" s="46"/>
      <c r="E31" s="12">
        <f>SUM(E30,E28,E26,E20,E24)</f>
        <v>122543754.43539518</v>
      </c>
      <c r="F31" s="13" t="s">
        <v>3</v>
      </c>
      <c r="G31" s="1"/>
    </row>
    <row r="32" spans="1:7" ht="27" customHeight="1" x14ac:dyDescent="0.25">
      <c r="A32" s="1"/>
      <c r="B32" s="75" t="s">
        <v>209</v>
      </c>
      <c r="C32" s="76"/>
      <c r="D32" s="76"/>
      <c r="E32" s="76"/>
      <c r="F32" s="77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RqaovJZ7k7SWzyQEME7/rqRByog8fjafhRVa1PH8EXc/0lGxf3IRv11HZFpalTvzgbiu0UVG2kUFfYeRreJ0nQ==" saltValue="TGry3THecI/4GuqsASlWmQ==" spinCount="100000" sheet="1" objects="1" scenarios="1"/>
  <mergeCells count="22">
    <mergeCell ref="B21:F21"/>
    <mergeCell ref="B22:D22"/>
    <mergeCell ref="B23:D23"/>
    <mergeCell ref="B24:D24"/>
    <mergeCell ref="B19:D19"/>
    <mergeCell ref="B20:D20"/>
    <mergeCell ref="B32:F32"/>
    <mergeCell ref="B28:D28"/>
    <mergeCell ref="B30:D30"/>
    <mergeCell ref="B3:F4"/>
    <mergeCell ref="B9:D9"/>
    <mergeCell ref="B10:D10"/>
    <mergeCell ref="B11:D11"/>
    <mergeCell ref="B12:D12"/>
    <mergeCell ref="B13:D13"/>
    <mergeCell ref="B14:D14"/>
    <mergeCell ref="B15:D15"/>
    <mergeCell ref="B25:D25"/>
    <mergeCell ref="B26:D26"/>
    <mergeCell ref="B16:D16"/>
    <mergeCell ref="B17:D17"/>
    <mergeCell ref="B18:D1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73" t="s">
        <v>235</v>
      </c>
      <c r="C1" s="73"/>
      <c r="D1" s="73"/>
      <c r="E1" s="73"/>
      <c r="F1" s="73"/>
      <c r="G1" s="73"/>
      <c r="H1" s="73"/>
      <c r="I1" s="1"/>
    </row>
    <row r="2" spans="1:9" ht="15" customHeight="1" x14ac:dyDescent="0.25">
      <c r="A2" s="1"/>
      <c r="B2" s="73"/>
      <c r="C2" s="73"/>
      <c r="D2" s="73"/>
      <c r="E2" s="73"/>
      <c r="F2" s="73"/>
      <c r="G2" s="73"/>
      <c r="H2" s="73"/>
      <c r="I2" s="1"/>
    </row>
    <row r="3" spans="1:9" ht="15" customHeight="1" x14ac:dyDescent="0.25">
      <c r="A3" s="1"/>
      <c r="B3" s="73"/>
      <c r="C3" s="73"/>
      <c r="D3" s="73"/>
      <c r="E3" s="73"/>
      <c r="F3" s="73"/>
      <c r="G3" s="73"/>
      <c r="H3" s="73"/>
      <c r="I3" s="1"/>
    </row>
    <row r="4" spans="1:9" x14ac:dyDescent="0.25">
      <c r="A4" s="1"/>
      <c r="B4" s="93" t="s">
        <v>94</v>
      </c>
      <c r="C4" s="94"/>
      <c r="D4" s="94"/>
      <c r="E4" s="94"/>
      <c r="F4" s="94"/>
      <c r="G4" s="94"/>
      <c r="H4" s="95"/>
      <c r="I4" s="1"/>
    </row>
    <row r="5" spans="1:9" x14ac:dyDescent="0.25">
      <c r="A5" s="1"/>
      <c r="B5" s="102" t="s">
        <v>83</v>
      </c>
      <c r="C5" s="103"/>
      <c r="D5" s="103"/>
      <c r="E5" s="103"/>
      <c r="F5" s="104"/>
      <c r="G5" s="26">
        <v>41253662.374984488</v>
      </c>
      <c r="H5" s="14" t="s">
        <v>3</v>
      </c>
      <c r="I5" s="1"/>
    </row>
    <row r="6" spans="1:9" x14ac:dyDescent="0.25">
      <c r="A6" s="1"/>
      <c r="B6" s="75" t="s">
        <v>253</v>
      </c>
      <c r="C6" s="76"/>
      <c r="D6" s="76"/>
      <c r="E6" s="76"/>
      <c r="F6" s="77"/>
      <c r="G6" s="26">
        <v>0</v>
      </c>
      <c r="H6" s="14" t="s">
        <v>3</v>
      </c>
      <c r="I6" s="1"/>
    </row>
    <row r="7" spans="1:9" x14ac:dyDescent="0.25">
      <c r="A7" s="1"/>
      <c r="B7" s="102" t="s">
        <v>84</v>
      </c>
      <c r="C7" s="103"/>
      <c r="D7" s="103"/>
      <c r="E7" s="103"/>
      <c r="F7" s="104"/>
      <c r="G7" s="26">
        <f>SUM(G5:G6)*'Fane 15. Nøgletal'!C25</f>
        <v>825073.24749968981</v>
      </c>
      <c r="H7" s="14" t="s">
        <v>3</v>
      </c>
      <c r="I7" s="1"/>
    </row>
    <row r="8" spans="1:9" x14ac:dyDescent="0.25">
      <c r="A8" s="1"/>
      <c r="B8" s="45"/>
      <c r="C8" s="46"/>
      <c r="D8" s="46"/>
      <c r="E8" s="46"/>
      <c r="F8" s="46"/>
      <c r="G8" s="46"/>
      <c r="H8" s="22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3" t="s">
        <v>95</v>
      </c>
      <c r="C10" s="94"/>
      <c r="D10" s="94"/>
      <c r="E10" s="94"/>
      <c r="F10" s="94"/>
      <c r="G10" s="94"/>
      <c r="H10" s="95"/>
      <c r="I10" s="1"/>
    </row>
    <row r="11" spans="1:9" x14ac:dyDescent="0.25">
      <c r="A11" s="1"/>
      <c r="B11" s="102" t="s">
        <v>85</v>
      </c>
      <c r="C11" s="103"/>
      <c r="D11" s="103"/>
      <c r="E11" s="103"/>
      <c r="F11" s="104"/>
      <c r="G11" s="26">
        <f>(G5-G7)*(1+'Fane 15. Nøgletal'!C10)</f>
        <v>41136089.437215783</v>
      </c>
      <c r="H11" s="14" t="s">
        <v>3</v>
      </c>
      <c r="I11" s="1"/>
    </row>
    <row r="12" spans="1:9" x14ac:dyDescent="0.25">
      <c r="A12" s="1"/>
      <c r="B12" s="102" t="s">
        <v>256</v>
      </c>
      <c r="C12" s="103"/>
      <c r="D12" s="103"/>
      <c r="E12" s="103"/>
      <c r="F12" s="104"/>
      <c r="G12" s="26">
        <v>0</v>
      </c>
      <c r="H12" s="14" t="s">
        <v>3</v>
      </c>
      <c r="I12" s="1"/>
    </row>
    <row r="13" spans="1:9" x14ac:dyDescent="0.25">
      <c r="A13" s="1"/>
      <c r="B13" s="75" t="s">
        <v>250</v>
      </c>
      <c r="C13" s="76"/>
      <c r="D13" s="76"/>
      <c r="E13" s="76"/>
      <c r="F13" s="77"/>
      <c r="G13" s="26">
        <v>0</v>
      </c>
      <c r="H13" s="14" t="s">
        <v>3</v>
      </c>
      <c r="I13" s="1"/>
    </row>
    <row r="14" spans="1:9" x14ac:dyDescent="0.25">
      <c r="A14" s="1"/>
      <c r="B14" s="108" t="s">
        <v>86</v>
      </c>
      <c r="C14" s="106"/>
      <c r="D14" s="106"/>
      <c r="E14" s="106"/>
      <c r="F14" s="107"/>
      <c r="G14" s="26">
        <v>1686874.1678250001</v>
      </c>
      <c r="H14" s="14" t="s">
        <v>3</v>
      </c>
      <c r="I14" s="1"/>
    </row>
    <row r="15" spans="1:9" x14ac:dyDescent="0.25">
      <c r="A15" s="1"/>
      <c r="B15" s="102" t="s">
        <v>87</v>
      </c>
      <c r="C15" s="103"/>
      <c r="D15" s="103"/>
      <c r="E15" s="103"/>
      <c r="F15" s="104"/>
      <c r="G15" s="26">
        <f>SUM(G11:G14)*'Fane 15. Nøgletal'!C25</f>
        <v>856459.27210081567</v>
      </c>
      <c r="H15" s="14" t="s">
        <v>3</v>
      </c>
      <c r="I15" s="1"/>
    </row>
    <row r="16" spans="1:9" x14ac:dyDescent="0.25">
      <c r="A16" s="1"/>
      <c r="B16" s="45"/>
      <c r="C16" s="46"/>
      <c r="D16" s="46"/>
      <c r="E16" s="46"/>
      <c r="F16" s="46"/>
      <c r="G16" s="46"/>
      <c r="H16" s="22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93" t="s">
        <v>96</v>
      </c>
      <c r="C18" s="94"/>
      <c r="D18" s="94"/>
      <c r="E18" s="94"/>
      <c r="F18" s="94"/>
      <c r="G18" s="94"/>
      <c r="H18" s="95"/>
      <c r="I18" s="1"/>
    </row>
    <row r="19" spans="1:9" x14ac:dyDescent="0.25">
      <c r="A19" s="1"/>
      <c r="B19" s="102" t="s">
        <v>88</v>
      </c>
      <c r="C19" s="103"/>
      <c r="D19" s="103"/>
      <c r="E19" s="103"/>
      <c r="F19" s="104"/>
      <c r="G19" s="26">
        <f>(G11+G12+G14-G15)*(1+'Fane 15. Nøgletal'!C10)</f>
        <v>42700918.158766419</v>
      </c>
      <c r="H19" s="14" t="s">
        <v>3</v>
      </c>
      <c r="I19" s="1"/>
    </row>
    <row r="20" spans="1:9" x14ac:dyDescent="0.25">
      <c r="A20" s="1"/>
      <c r="B20" s="108" t="s">
        <v>89</v>
      </c>
      <c r="C20" s="106"/>
      <c r="D20" s="106"/>
      <c r="E20" s="106"/>
      <c r="F20" s="107"/>
      <c r="G20" s="26">
        <v>834045.88508793979</v>
      </c>
      <c r="H20" s="14" t="s">
        <v>3</v>
      </c>
      <c r="I20" s="1"/>
    </row>
    <row r="21" spans="1:9" x14ac:dyDescent="0.25">
      <c r="A21" s="1"/>
      <c r="B21" s="102" t="s">
        <v>90</v>
      </c>
      <c r="C21" s="103"/>
      <c r="D21" s="103"/>
      <c r="E21" s="103"/>
      <c r="F21" s="104"/>
      <c r="G21" s="26">
        <f>(G19+G20)*'Fane 15. Nøgletal'!C25</f>
        <v>870699.28087708715</v>
      </c>
      <c r="H21" s="14" t="s">
        <v>3</v>
      </c>
      <c r="I21" s="1"/>
    </row>
    <row r="22" spans="1:9" x14ac:dyDescent="0.25">
      <c r="A22" s="1"/>
      <c r="B22" s="45"/>
      <c r="C22" s="46"/>
      <c r="D22" s="46"/>
      <c r="E22" s="46"/>
      <c r="F22" s="46"/>
      <c r="G22" s="46"/>
      <c r="H22" s="22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93" t="s">
        <v>97</v>
      </c>
      <c r="C24" s="94"/>
      <c r="D24" s="94"/>
      <c r="E24" s="94"/>
      <c r="F24" s="94"/>
      <c r="G24" s="94"/>
      <c r="H24" s="95"/>
      <c r="I24" s="1"/>
    </row>
    <row r="25" spans="1:9" x14ac:dyDescent="0.25">
      <c r="A25" s="1"/>
      <c r="B25" s="102" t="s">
        <v>91</v>
      </c>
      <c r="C25" s="103"/>
      <c r="D25" s="103"/>
      <c r="E25" s="103"/>
      <c r="F25" s="104"/>
      <c r="G25" s="26">
        <f>G19*(1-'Fane 15. Nøgletal'!C25)*(1+'Fane 15. Nøgletal'!C10)+G20*(1-'Fane 15. Nøgletal'!C25)*(1+'Fane 15. Nøgletal'!C11)</f>
        <v>43410398.977348946</v>
      </c>
      <c r="H25" s="14" t="s">
        <v>3</v>
      </c>
      <c r="I25" s="1"/>
    </row>
    <row r="26" spans="1:9" x14ac:dyDescent="0.25">
      <c r="A26" s="1"/>
      <c r="B26" s="105" t="s">
        <v>248</v>
      </c>
      <c r="C26" s="106"/>
      <c r="D26" s="106"/>
      <c r="E26" s="106"/>
      <c r="F26" s="107"/>
      <c r="G26" s="26">
        <f>G20*(1-'Fane 15. Nøgletal'!C25)*(1+'Fane 15. Nøgletal'!C11)</f>
        <v>831178.43533500738</v>
      </c>
      <c r="H26" s="14" t="s">
        <v>3</v>
      </c>
      <c r="I26" s="1"/>
    </row>
    <row r="27" spans="1:9" x14ac:dyDescent="0.25">
      <c r="A27" s="1"/>
      <c r="B27" s="108" t="s">
        <v>92</v>
      </c>
      <c r="C27" s="106"/>
      <c r="D27" s="106"/>
      <c r="E27" s="106"/>
      <c r="F27" s="107"/>
      <c r="G27" s="26">
        <f>('Fane 2.1. Økonomisk ramme 2020'!C12+'Fane 2.1. Økonomisk ramme 2020'!C14+'Fane 2.1. Økonomisk ramme 2020'!C16)*(1+'Fane 15. Nøgletal'!C12)</f>
        <v>1572776.1864173701</v>
      </c>
      <c r="H27" s="14" t="s">
        <v>3</v>
      </c>
      <c r="I27" s="1"/>
    </row>
    <row r="28" spans="1:9" x14ac:dyDescent="0.25">
      <c r="A28" s="1"/>
      <c r="B28" s="102" t="s">
        <v>93</v>
      </c>
      <c r="C28" s="103"/>
      <c r="D28" s="103"/>
      <c r="E28" s="103"/>
      <c r="F28" s="104"/>
      <c r="G28" s="26">
        <f>SUM(G25,G27)*'Fane 15. Nøgletal'!C25</f>
        <v>899663.50327532634</v>
      </c>
      <c r="H28" s="14" t="s">
        <v>3</v>
      </c>
      <c r="I28" s="1"/>
    </row>
    <row r="29" spans="1:9" x14ac:dyDescent="0.25">
      <c r="A29" s="1"/>
      <c r="B29" s="45"/>
      <c r="C29" s="46"/>
      <c r="D29" s="46"/>
      <c r="E29" s="46"/>
      <c r="F29" s="46"/>
      <c r="G29" s="46"/>
      <c r="H29" s="22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93" t="s">
        <v>100</v>
      </c>
      <c r="C31" s="94"/>
      <c r="D31" s="94"/>
      <c r="E31" s="94"/>
      <c r="F31" s="94"/>
      <c r="G31" s="94"/>
      <c r="H31" s="95"/>
      <c r="I31" s="1"/>
    </row>
    <row r="32" spans="1:9" x14ac:dyDescent="0.25">
      <c r="A32" s="1"/>
      <c r="B32" s="102" t="s">
        <v>101</v>
      </c>
      <c r="C32" s="103"/>
      <c r="D32" s="103"/>
      <c r="E32" s="103"/>
      <c r="F32" s="104"/>
      <c r="G32" s="26">
        <f>(G25-G26)*(1-'Fane 15. Nøgletal'!C25)*(1+'Fane 15. Nøgletal'!C10)+G26*(1-'Fane 15. Nøgletal'!C25)*(1+'Fane 15. Nøgletal'!C11)+G27*(1-'Fane 15. Nøgletal'!C25)*(1+'Fane 15. Nøgletal'!C12)</f>
        <v>44857875.287087522</v>
      </c>
      <c r="H32" s="14" t="s">
        <v>3</v>
      </c>
      <c r="I32" s="1"/>
    </row>
    <row r="33" spans="1:9" x14ac:dyDescent="0.25">
      <c r="A33" s="1"/>
      <c r="B33" s="105" t="s">
        <v>248</v>
      </c>
      <c r="C33" s="106"/>
      <c r="D33" s="106"/>
      <c r="E33" s="106"/>
      <c r="F33" s="107"/>
      <c r="G33" s="26">
        <f>G26*(1-'Fane 15. Nøgletal'!C25)*(1+'Fane 15. Nøgletal'!C11)</f>
        <v>828320.84387432563</v>
      </c>
      <c r="H33" s="14" t="s">
        <v>3</v>
      </c>
      <c r="I33" s="1"/>
    </row>
    <row r="34" spans="1:9" x14ac:dyDescent="0.25">
      <c r="A34" s="1"/>
      <c r="B34" s="105" t="s">
        <v>249</v>
      </c>
      <c r="C34" s="106"/>
      <c r="D34" s="106"/>
      <c r="E34" s="106"/>
      <c r="F34" s="107"/>
      <c r="G34" s="26">
        <f>G27*(1-'Fane 15. Nøgletal'!C25)*(1+'Fane 15. Nøgletal'!C12)</f>
        <v>1571684.6797439966</v>
      </c>
      <c r="H34" s="14" t="s">
        <v>3</v>
      </c>
      <c r="I34" s="1"/>
    </row>
    <row r="35" spans="1:9" x14ac:dyDescent="0.25">
      <c r="A35" s="1"/>
      <c r="B35" s="102" t="s">
        <v>147</v>
      </c>
      <c r="C35" s="103"/>
      <c r="D35" s="103"/>
      <c r="E35" s="103"/>
      <c r="F35" s="104"/>
      <c r="G35" s="26">
        <f>-'Fane 13. Bortfald'!C18*(1+'Fane 15. Nøgletal'!C12)</f>
        <v>0</v>
      </c>
      <c r="H35" s="14" t="s">
        <v>3</v>
      </c>
      <c r="I35" s="1"/>
    </row>
    <row r="36" spans="1:9" x14ac:dyDescent="0.25">
      <c r="A36" s="1"/>
      <c r="B36" s="102" t="s">
        <v>102</v>
      </c>
      <c r="C36" s="103"/>
      <c r="D36" s="103"/>
      <c r="E36" s="103"/>
      <c r="F36" s="104"/>
      <c r="G36" s="26">
        <f>SUM(G32,G35)*'Fane 15. Nøgletal'!C25</f>
        <v>897157.50574175047</v>
      </c>
      <c r="H36" s="14" t="s">
        <v>3</v>
      </c>
      <c r="I36" s="1"/>
    </row>
    <row r="37" spans="1:9" x14ac:dyDescent="0.25">
      <c r="A37" s="1"/>
      <c r="B37" s="45"/>
      <c r="C37" s="46"/>
      <c r="D37" s="46"/>
      <c r="E37" s="46"/>
      <c r="F37" s="46"/>
      <c r="G37" s="46"/>
      <c r="H37" s="22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93" t="s">
        <v>127</v>
      </c>
      <c r="C39" s="94"/>
      <c r="D39" s="94"/>
      <c r="E39" s="94"/>
      <c r="F39" s="94"/>
      <c r="G39" s="94"/>
      <c r="H39" s="95"/>
      <c r="I39" s="1"/>
    </row>
    <row r="40" spans="1:9" x14ac:dyDescent="0.25">
      <c r="A40" s="1"/>
      <c r="B40" s="102" t="s">
        <v>126</v>
      </c>
      <c r="C40" s="103"/>
      <c r="D40" s="103"/>
      <c r="E40" s="103"/>
      <c r="F40" s="104"/>
      <c r="G40" s="26">
        <f>(SUM(G32,G35)-G36)*(1+'Fane 15. Nøgletal'!C12)</f>
        <v>44826743.92163828</v>
      </c>
      <c r="H40" s="14" t="s">
        <v>3</v>
      </c>
      <c r="I40" s="1"/>
    </row>
    <row r="41" spans="1:9" x14ac:dyDescent="0.25">
      <c r="A41" s="1"/>
      <c r="B41" s="102" t="s">
        <v>148</v>
      </c>
      <c r="C41" s="103"/>
      <c r="D41" s="103"/>
      <c r="E41" s="103"/>
      <c r="F41" s="104"/>
      <c r="G41" s="26">
        <f>-'Fane 13. Bortfald'!C24*(1+'Fane 15. Nøgletal'!C12)</f>
        <v>0</v>
      </c>
      <c r="H41" s="14" t="s">
        <v>3</v>
      </c>
      <c r="I41" s="1"/>
    </row>
    <row r="42" spans="1:9" x14ac:dyDescent="0.25">
      <c r="A42" s="1"/>
      <c r="B42" s="102" t="s">
        <v>103</v>
      </c>
      <c r="C42" s="103"/>
      <c r="D42" s="103"/>
      <c r="E42" s="103"/>
      <c r="F42" s="104"/>
      <c r="G42" s="26">
        <f>(G40+G41)*'Fane 15. Nøgletal'!C25</f>
        <v>896534.8784327656</v>
      </c>
      <c r="H42" s="14" t="s">
        <v>3</v>
      </c>
      <c r="I42" s="1"/>
    </row>
    <row r="43" spans="1:9" x14ac:dyDescent="0.25">
      <c r="A43" s="1"/>
      <c r="B43" s="45"/>
      <c r="C43" s="46"/>
      <c r="D43" s="46"/>
      <c r="E43" s="46"/>
      <c r="F43" s="46"/>
      <c r="G43" s="46"/>
      <c r="H43" s="22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93" t="s">
        <v>128</v>
      </c>
      <c r="C45" s="94"/>
      <c r="D45" s="94"/>
      <c r="E45" s="94"/>
      <c r="F45" s="94"/>
      <c r="G45" s="94"/>
      <c r="H45" s="95"/>
      <c r="I45" s="1"/>
    </row>
    <row r="46" spans="1:9" x14ac:dyDescent="0.25">
      <c r="A46" s="1"/>
      <c r="B46" s="102" t="s">
        <v>125</v>
      </c>
      <c r="C46" s="103"/>
      <c r="D46" s="103"/>
      <c r="E46" s="103"/>
      <c r="F46" s="104"/>
      <c r="G46" s="26">
        <f>(G40-G42)*(1+'Fane 15. Nøgletal'!C12)</f>
        <v>44795634.161356665</v>
      </c>
      <c r="H46" s="14" t="s">
        <v>3</v>
      </c>
      <c r="I46" s="1"/>
    </row>
    <row r="47" spans="1:9" x14ac:dyDescent="0.25">
      <c r="A47" s="1"/>
      <c r="B47" s="102" t="s">
        <v>149</v>
      </c>
      <c r="C47" s="103"/>
      <c r="D47" s="103"/>
      <c r="E47" s="103"/>
      <c r="F47" s="104"/>
      <c r="G47" s="26">
        <f>-'Fane 13. Bortfald'!C30*(1+'Fane 15. Nøgletal'!C12)</f>
        <v>0</v>
      </c>
      <c r="H47" s="14" t="s">
        <v>3</v>
      </c>
      <c r="I47" s="1"/>
    </row>
    <row r="48" spans="1:9" x14ac:dyDescent="0.25">
      <c r="A48" s="1"/>
      <c r="B48" s="102" t="s">
        <v>104</v>
      </c>
      <c r="C48" s="103"/>
      <c r="D48" s="103"/>
      <c r="E48" s="103"/>
      <c r="F48" s="104"/>
      <c r="G48" s="26">
        <f>(G46+G47)*'Fane 15. Nøgletal'!C25</f>
        <v>895912.68322713336</v>
      </c>
      <c r="H48" s="14" t="s">
        <v>3</v>
      </c>
      <c r="I48" s="1"/>
    </row>
    <row r="49" spans="1:9" x14ac:dyDescent="0.25">
      <c r="A49" s="1"/>
      <c r="B49" s="45"/>
      <c r="C49" s="46"/>
      <c r="D49" s="46"/>
      <c r="E49" s="46"/>
      <c r="F49" s="46"/>
      <c r="G49" s="46"/>
      <c r="H49" s="22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c8ADBBH7Hb9LtJ5Cl4SXcTErjFIErQ8A6AN1SqFcMhF9WbPlhtWD1on5Hwd0AouhI8BxcI8jOMakTaM46hc1ag==" saltValue="+3k1D+oGXo1DREEPz5zvtQ==" spinCount="100000" sheet="1" objects="1" scenarios="1"/>
  <mergeCells count="34">
    <mergeCell ref="B13:F13"/>
    <mergeCell ref="B35:F35"/>
    <mergeCell ref="B26:F26"/>
    <mergeCell ref="B33:F33"/>
    <mergeCell ref="B34:F34"/>
    <mergeCell ref="B18:H18"/>
    <mergeCell ref="B24:H24"/>
    <mergeCell ref="B32:F32"/>
    <mergeCell ref="B14:F14"/>
    <mergeCell ref="B15:F15"/>
    <mergeCell ref="B19:F19"/>
    <mergeCell ref="B20:F20"/>
    <mergeCell ref="B31:H31"/>
    <mergeCell ref="B21:F21"/>
    <mergeCell ref="B25:F25"/>
    <mergeCell ref="B27:F27"/>
    <mergeCell ref="B28:F28"/>
    <mergeCell ref="B36:F36"/>
    <mergeCell ref="B45:H45"/>
    <mergeCell ref="B46:F46"/>
    <mergeCell ref="B48:F48"/>
    <mergeCell ref="B41:F41"/>
    <mergeCell ref="B47:F47"/>
    <mergeCell ref="B39:H39"/>
    <mergeCell ref="B42:F42"/>
    <mergeCell ref="B40:F40"/>
    <mergeCell ref="B12:F12"/>
    <mergeCell ref="B1:H3"/>
    <mergeCell ref="B4:H4"/>
    <mergeCell ref="B5:F5"/>
    <mergeCell ref="B7:F7"/>
    <mergeCell ref="B11:F11"/>
    <mergeCell ref="B10:H10"/>
    <mergeCell ref="B6:F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9" t="s">
        <v>234</v>
      </c>
      <c r="C2" s="109"/>
      <c r="D2" s="109"/>
      <c r="E2" s="109"/>
      <c r="F2" s="109"/>
      <c r="G2" s="109"/>
      <c r="H2" s="109"/>
      <c r="I2" s="1"/>
    </row>
    <row r="3" spans="1:9" ht="18.75" x14ac:dyDescent="0.3">
      <c r="A3" s="1"/>
      <c r="B3" s="48"/>
      <c r="C3" s="48"/>
      <c r="D3" s="48"/>
      <c r="E3" s="48"/>
      <c r="F3" s="48"/>
      <c r="G3" s="48"/>
      <c r="H3" s="48"/>
      <c r="I3" s="1"/>
    </row>
    <row r="4" spans="1:9" x14ac:dyDescent="0.25">
      <c r="A4" s="1"/>
      <c r="B4" s="93" t="s">
        <v>98</v>
      </c>
      <c r="C4" s="94"/>
      <c r="D4" s="94"/>
      <c r="E4" s="94"/>
      <c r="F4" s="94"/>
      <c r="G4" s="94"/>
      <c r="H4" s="95"/>
      <c r="I4" s="1"/>
    </row>
    <row r="5" spans="1:9" x14ac:dyDescent="0.25">
      <c r="A5" s="1"/>
      <c r="B5" s="102" t="s">
        <v>105</v>
      </c>
      <c r="C5" s="103"/>
      <c r="D5" s="103"/>
      <c r="E5" s="103"/>
      <c r="F5" s="104"/>
      <c r="G5" s="26">
        <v>72295508.134889811</v>
      </c>
      <c r="H5" s="14" t="s">
        <v>3</v>
      </c>
      <c r="I5" s="1"/>
    </row>
    <row r="6" spans="1:9" x14ac:dyDescent="0.25">
      <c r="A6" s="1"/>
      <c r="B6" s="102" t="s">
        <v>99</v>
      </c>
      <c r="C6" s="103"/>
      <c r="D6" s="103"/>
      <c r="E6" s="103"/>
      <c r="F6" s="104"/>
      <c r="G6" s="26">
        <f>G5*'Fane 15. Nøgletal'!C17</f>
        <v>657889.12402749737</v>
      </c>
      <c r="H6" s="14" t="s">
        <v>3</v>
      </c>
      <c r="I6" s="1"/>
    </row>
    <row r="7" spans="1:9" x14ac:dyDescent="0.25">
      <c r="A7" s="1"/>
      <c r="B7" s="45"/>
      <c r="C7" s="46"/>
      <c r="D7" s="46"/>
      <c r="E7" s="46"/>
      <c r="F7" s="46"/>
      <c r="G7" s="46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3" t="s">
        <v>106</v>
      </c>
      <c r="C9" s="94"/>
      <c r="D9" s="94"/>
      <c r="E9" s="94"/>
      <c r="F9" s="94"/>
      <c r="G9" s="94"/>
      <c r="H9" s="95"/>
      <c r="I9" s="1"/>
    </row>
    <row r="10" spans="1:9" x14ac:dyDescent="0.25">
      <c r="A10" s="1"/>
      <c r="B10" s="102" t="s">
        <v>107</v>
      </c>
      <c r="C10" s="103"/>
      <c r="D10" s="103"/>
      <c r="E10" s="103"/>
      <c r="F10" s="104"/>
      <c r="G10" s="26">
        <f>(G5-G6)*(1+'Fane 15. Nøgletal'!C10)</f>
        <v>72891277.343552411</v>
      </c>
      <c r="H10" s="14" t="s">
        <v>3</v>
      </c>
      <c r="I10" s="1"/>
    </row>
    <row r="11" spans="1:9" x14ac:dyDescent="0.25">
      <c r="A11" s="1"/>
      <c r="B11" s="102" t="s">
        <v>257</v>
      </c>
      <c r="C11" s="103"/>
      <c r="D11" s="103"/>
      <c r="E11" s="103"/>
      <c r="F11" s="104"/>
      <c r="G11" s="26">
        <v>1168818.8840855777</v>
      </c>
      <c r="H11" s="14" t="s">
        <v>3</v>
      </c>
      <c r="I11" s="1"/>
    </row>
    <row r="12" spans="1:9" x14ac:dyDescent="0.25">
      <c r="A12" s="1"/>
      <c r="B12" s="108" t="s">
        <v>108</v>
      </c>
      <c r="C12" s="106"/>
      <c r="D12" s="106"/>
      <c r="E12" s="106"/>
      <c r="F12" s="107"/>
      <c r="G12" s="26">
        <v>0</v>
      </c>
      <c r="H12" s="14" t="s">
        <v>3</v>
      </c>
      <c r="I12" s="1"/>
    </row>
    <row r="13" spans="1:9" x14ac:dyDescent="0.25">
      <c r="A13" s="1"/>
      <c r="B13" s="102" t="s">
        <v>109</v>
      </c>
      <c r="C13" s="103"/>
      <c r="D13" s="103"/>
      <c r="E13" s="103"/>
      <c r="F13" s="104"/>
      <c r="G13" s="26">
        <f>SUM(G10:G12)*'Fane 15. Nøgletal'!C18</f>
        <v>1310863.7032291924</v>
      </c>
      <c r="H13" s="14" t="s">
        <v>3</v>
      </c>
      <c r="I13" s="1"/>
    </row>
    <row r="14" spans="1:9" x14ac:dyDescent="0.25">
      <c r="A14" s="1"/>
      <c r="B14" s="45"/>
      <c r="C14" s="46"/>
      <c r="D14" s="46"/>
      <c r="E14" s="46"/>
      <c r="F14" s="46"/>
      <c r="G14" s="46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110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102" t="s">
        <v>111</v>
      </c>
      <c r="C17" s="103"/>
      <c r="D17" s="103"/>
      <c r="E17" s="103"/>
      <c r="F17" s="104"/>
      <c r="G17" s="26">
        <f>(G10+G11+G12-G13)*(1+'Fane 15. Nøgletal'!C10)</f>
        <v>74022344.093585968</v>
      </c>
      <c r="H17" s="14" t="s">
        <v>3</v>
      </c>
      <c r="I17" s="1"/>
    </row>
    <row r="18" spans="1:9" x14ac:dyDescent="0.25">
      <c r="A18" s="1"/>
      <c r="B18" s="108" t="s">
        <v>112</v>
      </c>
      <c r="C18" s="106"/>
      <c r="D18" s="106"/>
      <c r="E18" s="106"/>
      <c r="F18" s="107"/>
      <c r="G18" s="26">
        <v>1040536.2360351798</v>
      </c>
      <c r="H18" s="14" t="s">
        <v>3</v>
      </c>
      <c r="I18" s="1"/>
    </row>
    <row r="19" spans="1:9" x14ac:dyDescent="0.25">
      <c r="A19" s="1"/>
      <c r="B19" s="102" t="s">
        <v>113</v>
      </c>
      <c r="C19" s="103"/>
      <c r="D19" s="103"/>
      <c r="E19" s="103"/>
      <c r="F19" s="104"/>
      <c r="G19" s="26">
        <f>G17*'Fane 15. Nøgletal'!C18+G18*'Fane 15. Nøgletal'!C19</f>
        <v>1319248.1557099777</v>
      </c>
      <c r="H19" s="14" t="s">
        <v>3</v>
      </c>
      <c r="I19" s="1"/>
    </row>
    <row r="20" spans="1:9" x14ac:dyDescent="0.25">
      <c r="A20" s="1"/>
      <c r="B20" s="45"/>
      <c r="C20" s="46"/>
      <c r="D20" s="46"/>
      <c r="E20" s="46"/>
      <c r="F20" s="46"/>
      <c r="G20" s="46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3" t="s">
        <v>114</v>
      </c>
      <c r="C22" s="94"/>
      <c r="D22" s="94"/>
      <c r="E22" s="94"/>
      <c r="F22" s="94"/>
      <c r="G22" s="94"/>
      <c r="H22" s="95"/>
      <c r="I22" s="1"/>
    </row>
    <row r="23" spans="1:9" x14ac:dyDescent="0.25">
      <c r="A23" s="1"/>
      <c r="B23" s="102" t="s">
        <v>115</v>
      </c>
      <c r="C23" s="103"/>
      <c r="D23" s="103"/>
      <c r="E23" s="103"/>
      <c r="F23" s="104"/>
      <c r="G23" s="26">
        <f>G17*(1-'Fane 15. Nøgletal'!C18)*(1+'Fane 15. Nøgletal'!C10)+G18*(1-'Fane 15. Nøgletal'!C19)*(1+'Fane 15. Nøgletal'!C11)</f>
        <v>75033526.846812144</v>
      </c>
      <c r="H23" s="14" t="s">
        <v>3</v>
      </c>
      <c r="I23" s="1"/>
    </row>
    <row r="24" spans="1:9" x14ac:dyDescent="0.25">
      <c r="A24" s="1"/>
      <c r="B24" s="105" t="s">
        <v>245</v>
      </c>
      <c r="C24" s="106"/>
      <c r="D24" s="106"/>
      <c r="E24" s="106"/>
      <c r="F24" s="107"/>
      <c r="G24" s="26">
        <f>G18*(1-'Fane 15. Nøgletal'!C19)*(1+'Fane 15. Nøgletal'!C11)</f>
        <v>1048915.6431278838</v>
      </c>
      <c r="H24" s="14" t="s">
        <v>3</v>
      </c>
      <c r="I24" s="1"/>
    </row>
    <row r="25" spans="1:9" x14ac:dyDescent="0.25">
      <c r="A25" s="1"/>
      <c r="B25" s="108" t="s">
        <v>116</v>
      </c>
      <c r="C25" s="106"/>
      <c r="D25" s="106"/>
      <c r="E25" s="106"/>
      <c r="F25" s="107"/>
      <c r="G25" s="26">
        <f>('Fane 2.1. Økonomisk ramme 2020'!C13+'Fane 2.1. Økonomisk ramme 2020'!C15+'Fane 2.1. Økonomisk ramme 2020'!C17)*(1+'Fane 15. Nøgletal'!C12)</f>
        <v>26595.561127608002</v>
      </c>
      <c r="H25" s="14" t="s">
        <v>3</v>
      </c>
      <c r="I25" s="1"/>
    </row>
    <row r="26" spans="1:9" x14ac:dyDescent="0.25">
      <c r="A26" s="1"/>
      <c r="B26" s="102" t="s">
        <v>117</v>
      </c>
      <c r="C26" s="103"/>
      <c r="D26" s="103"/>
      <c r="E26" s="103"/>
      <c r="F26" s="104"/>
      <c r="G26" s="26">
        <f>(G23-G24)*'Fane 15. Nøgletal'!C18+G24*'Fane 15. Nøgletal'!C19+G25*'Fane 15. Nøgletal'!C20</f>
        <v>1319408.4983364479</v>
      </c>
      <c r="H26" s="14" t="s">
        <v>3</v>
      </c>
      <c r="I26" s="1"/>
    </row>
    <row r="27" spans="1:9" x14ac:dyDescent="0.25">
      <c r="A27" s="1"/>
      <c r="B27" s="45"/>
      <c r="C27" s="46"/>
      <c r="D27" s="46"/>
      <c r="E27" s="46"/>
      <c r="F27" s="46"/>
      <c r="G27" s="46"/>
      <c r="H27" s="22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93" t="s">
        <v>118</v>
      </c>
      <c r="C29" s="94"/>
      <c r="D29" s="94"/>
      <c r="E29" s="94"/>
      <c r="F29" s="94"/>
      <c r="G29" s="94"/>
      <c r="H29" s="95"/>
      <c r="I29" s="1"/>
    </row>
    <row r="30" spans="1:9" x14ac:dyDescent="0.25">
      <c r="A30" s="1"/>
      <c r="B30" s="102" t="s">
        <v>119</v>
      </c>
      <c r="C30" s="103"/>
      <c r="D30" s="103"/>
      <c r="E30" s="103"/>
      <c r="F30" s="104"/>
      <c r="G30" s="26">
        <f>(G23-G24)*(1-'Fane 15. Nøgletal'!C18)*(1+'Fane 15. Nøgletal'!C10)+G24*(1-'Fane 15. Nøgletal'!C19)*(1+'Fane 15. Nøgletal'!C11)+G25*(1-'Fane 15. Nøgletal'!C20)*(1+'Fane 15. Nøgletal'!C12)</f>
        <v>75030609.377518952</v>
      </c>
      <c r="H30" s="14" t="s">
        <v>3</v>
      </c>
      <c r="I30" s="1"/>
    </row>
    <row r="31" spans="1:9" x14ac:dyDescent="0.25">
      <c r="A31" s="1"/>
      <c r="B31" s="105" t="s">
        <v>246</v>
      </c>
      <c r="C31" s="106"/>
      <c r="D31" s="106"/>
      <c r="E31" s="106"/>
      <c r="F31" s="107"/>
      <c r="G31" s="26">
        <f>G24*(1-'Fane 15. Nøgletal'!C19)*(1+'Fane 15. Nøgletal'!C11)</f>
        <v>1057362.5293345232</v>
      </c>
      <c r="H31" s="14" t="s">
        <v>3</v>
      </c>
      <c r="I31" s="1"/>
    </row>
    <row r="32" spans="1:9" x14ac:dyDescent="0.25">
      <c r="A32" s="1"/>
      <c r="B32" s="105" t="s">
        <v>247</v>
      </c>
      <c r="C32" s="106"/>
      <c r="D32" s="106"/>
      <c r="E32" s="106"/>
      <c r="F32" s="107"/>
      <c r="G32" s="26">
        <f>G25*(1-'Fane 15. Nøgletal'!C20)*(1+'Fane 15. Nøgletal'!C12)</f>
        <v>26349.300061258138</v>
      </c>
      <c r="H32" s="14" t="s">
        <v>3</v>
      </c>
      <c r="I32" s="1"/>
    </row>
    <row r="33" spans="1:9" x14ac:dyDescent="0.25">
      <c r="A33" s="1"/>
      <c r="B33" s="102" t="s">
        <v>153</v>
      </c>
      <c r="C33" s="103"/>
      <c r="D33" s="103"/>
      <c r="E33" s="103"/>
      <c r="F33" s="104"/>
      <c r="G33" s="26">
        <f>-'Fane 13. Bortfald'!E18*(1+'Fane 15. Nøgletal'!C12)</f>
        <v>0</v>
      </c>
      <c r="H33" s="14" t="s">
        <v>3</v>
      </c>
      <c r="I33" s="1"/>
    </row>
    <row r="34" spans="1:9" x14ac:dyDescent="0.25">
      <c r="A34" s="1"/>
      <c r="B34" s="102" t="s">
        <v>120</v>
      </c>
      <c r="C34" s="103"/>
      <c r="D34" s="103"/>
      <c r="E34" s="103"/>
      <c r="F34" s="104"/>
      <c r="G34" s="26">
        <f>(G30-SUM(G31:G32))*'Fane 15. Nøgletal'!C18+G31*'Fane 15. Nøgletal'!C19+(G32+G33)*'Fane 15. Nøgletal'!C20</f>
        <v>1318807.4607287301</v>
      </c>
      <c r="H34" s="14" t="s">
        <v>3</v>
      </c>
      <c r="I34" s="1"/>
    </row>
    <row r="35" spans="1:9" x14ac:dyDescent="0.25">
      <c r="A35" s="1"/>
      <c r="B35" s="45"/>
      <c r="C35" s="46"/>
      <c r="D35" s="46"/>
      <c r="E35" s="46"/>
      <c r="F35" s="46"/>
      <c r="G35" s="46"/>
      <c r="H35" s="22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93" t="s">
        <v>129</v>
      </c>
      <c r="C37" s="94"/>
      <c r="D37" s="94"/>
      <c r="E37" s="94"/>
      <c r="F37" s="94"/>
      <c r="G37" s="94"/>
      <c r="H37" s="95"/>
      <c r="I37" s="1"/>
    </row>
    <row r="38" spans="1:9" x14ac:dyDescent="0.25">
      <c r="A38" s="1"/>
      <c r="B38" s="102" t="s">
        <v>124</v>
      </c>
      <c r="C38" s="103"/>
      <c r="D38" s="103"/>
      <c r="E38" s="103"/>
      <c r="F38" s="104"/>
      <c r="G38" s="26">
        <f>(SUM(G30,G33)-G34)*(1+'Fane 15. Nøgletal'!C12)</f>
        <v>75163924.41455099</v>
      </c>
      <c r="H38" s="14" t="s">
        <v>3</v>
      </c>
      <c r="I38" s="1"/>
    </row>
    <row r="39" spans="1:9" x14ac:dyDescent="0.25">
      <c r="A39" s="1"/>
      <c r="B39" s="102" t="s">
        <v>154</v>
      </c>
      <c r="C39" s="103"/>
      <c r="D39" s="103"/>
      <c r="E39" s="103"/>
      <c r="F39" s="104"/>
      <c r="G39" s="26">
        <f>-'Fane 13. Bortfald'!E24*(1+'Fane 15. Nøgletal'!C12)</f>
        <v>0</v>
      </c>
      <c r="H39" s="14" t="s">
        <v>3</v>
      </c>
      <c r="I39" s="1"/>
    </row>
    <row r="40" spans="1:9" x14ac:dyDescent="0.25">
      <c r="A40" s="1"/>
      <c r="B40" s="102" t="s">
        <v>121</v>
      </c>
      <c r="C40" s="103"/>
      <c r="D40" s="103"/>
      <c r="E40" s="103"/>
      <c r="F40" s="104"/>
      <c r="G40" s="26">
        <f>(G38+G39)*'Fane 15. Nøgletal'!C20</f>
        <v>2134655.4533732482</v>
      </c>
      <c r="H40" s="14" t="s">
        <v>3</v>
      </c>
      <c r="I40" s="1"/>
    </row>
    <row r="41" spans="1:9" x14ac:dyDescent="0.25">
      <c r="A41" s="1"/>
      <c r="B41" s="45"/>
      <c r="C41" s="46"/>
      <c r="D41" s="46"/>
      <c r="E41" s="46"/>
      <c r="F41" s="46"/>
      <c r="G41" s="46"/>
      <c r="H41" s="22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93" t="s">
        <v>130</v>
      </c>
      <c r="C43" s="94"/>
      <c r="D43" s="94"/>
      <c r="E43" s="94"/>
      <c r="F43" s="94"/>
      <c r="G43" s="94"/>
      <c r="H43" s="95"/>
      <c r="I43" s="1"/>
    </row>
    <row r="44" spans="1:9" x14ac:dyDescent="0.25">
      <c r="A44" s="1"/>
      <c r="B44" s="102" t="s">
        <v>123</v>
      </c>
      <c r="C44" s="103"/>
      <c r="D44" s="103"/>
      <c r="E44" s="103"/>
      <c r="F44" s="104"/>
      <c r="G44" s="26">
        <f>(G38+G39-G40)*(1+'Fane 15. Nøgletal'!C12)</f>
        <v>74467945.559712946</v>
      </c>
      <c r="H44" s="14" t="s">
        <v>3</v>
      </c>
      <c r="I44" s="1"/>
    </row>
    <row r="45" spans="1:9" x14ac:dyDescent="0.25">
      <c r="A45" s="1"/>
      <c r="B45" s="102" t="s">
        <v>155</v>
      </c>
      <c r="C45" s="103"/>
      <c r="D45" s="103"/>
      <c r="E45" s="103"/>
      <c r="F45" s="104"/>
      <c r="G45" s="26">
        <f>-'Fane 13. Bortfald'!E30*(1+'Fane 15. Nøgletal'!C12)</f>
        <v>0</v>
      </c>
      <c r="H45" s="14" t="s">
        <v>3</v>
      </c>
      <c r="I45" s="1"/>
    </row>
    <row r="46" spans="1:9" x14ac:dyDescent="0.25">
      <c r="A46" s="1"/>
      <c r="B46" s="102" t="s">
        <v>122</v>
      </c>
      <c r="C46" s="103"/>
      <c r="D46" s="103"/>
      <c r="E46" s="103"/>
      <c r="F46" s="104"/>
      <c r="G46" s="26">
        <f>(G44+G45)*'Fane 15. Nøgletal'!C20</f>
        <v>2114889.653895848</v>
      </c>
      <c r="H46" s="14" t="s">
        <v>3</v>
      </c>
      <c r="I46" s="1"/>
    </row>
    <row r="47" spans="1:9" x14ac:dyDescent="0.25">
      <c r="A47" s="1"/>
      <c r="B47" s="45"/>
      <c r="C47" s="46"/>
      <c r="D47" s="46"/>
      <c r="E47" s="46"/>
      <c r="F47" s="46"/>
      <c r="G47" s="46"/>
      <c r="H47" s="22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e9/KgByMaUQuhyt+SH0MNmbb5JoOcR+Lyy4H3HKukl8D9SeXmDCnTfzvXZEOay9fvRkKDY+eHuBaZUccCZ+K5g==" saltValue="maweAHoQwnWWOWmfGVLDzA==" spinCount="100000" sheet="1" objects="1" scenarios="1"/>
  <mergeCells count="32">
    <mergeCell ref="B22:H22"/>
    <mergeCell ref="B45:F45"/>
    <mergeCell ref="B23:F23"/>
    <mergeCell ref="B25:F25"/>
    <mergeCell ref="B26:F26"/>
    <mergeCell ref="B40:F40"/>
    <mergeCell ref="B43:H43"/>
    <mergeCell ref="B44:F44"/>
    <mergeCell ref="B29:H29"/>
    <mergeCell ref="B30:F30"/>
    <mergeCell ref="B34:F34"/>
    <mergeCell ref="B37:H37"/>
    <mergeCell ref="B39:F39"/>
    <mergeCell ref="B24:F24"/>
    <mergeCell ref="B31:F31"/>
    <mergeCell ref="B32:F32"/>
    <mergeCell ref="B11:F11"/>
    <mergeCell ref="B2:H2"/>
    <mergeCell ref="B38:F38"/>
    <mergeCell ref="B46:F46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3:F3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146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102" t="s">
        <v>131</v>
      </c>
      <c r="C9" s="103"/>
      <c r="D9" s="103"/>
      <c r="E9" s="103"/>
      <c r="F9" s="104"/>
      <c r="G9" s="25">
        <v>0</v>
      </c>
      <c r="H9" s="14"/>
      <c r="I9" s="1"/>
    </row>
    <row r="10" spans="1:9" x14ac:dyDescent="0.25">
      <c r="A10" s="1"/>
      <c r="B10" s="102" t="s">
        <v>202</v>
      </c>
      <c r="C10" s="103"/>
      <c r="D10" s="103"/>
      <c r="E10" s="103"/>
      <c r="F10" s="104"/>
      <c r="G10" s="25">
        <v>0</v>
      </c>
      <c r="H10" s="14"/>
      <c r="I10" s="1"/>
    </row>
    <row r="11" spans="1:9" x14ac:dyDescent="0.25">
      <c r="A11" s="1"/>
      <c r="B11" s="45"/>
      <c r="C11" s="46"/>
      <c r="D11" s="46"/>
      <c r="E11" s="46"/>
      <c r="F11" s="46"/>
      <c r="G11" s="46"/>
      <c r="H11" s="22"/>
      <c r="I11" s="1"/>
    </row>
    <row r="12" spans="1:9" ht="40.5" customHeight="1" x14ac:dyDescent="0.25">
      <c r="A12" s="1"/>
      <c r="B12" s="75" t="s">
        <v>212</v>
      </c>
      <c r="C12" s="76"/>
      <c r="D12" s="76"/>
      <c r="E12" s="76"/>
      <c r="F12" s="76"/>
      <c r="G12" s="76"/>
      <c r="H12" s="77"/>
      <c r="I12" s="1"/>
    </row>
    <row r="13" spans="1:9" ht="30.75" customHeight="1" x14ac:dyDescent="0.25">
      <c r="A13" s="20"/>
      <c r="B13" s="110"/>
      <c r="C13" s="110"/>
      <c r="D13" s="110"/>
      <c r="E13" s="110"/>
      <c r="F13" s="110"/>
      <c r="G13" s="110"/>
      <c r="H13" s="110"/>
      <c r="I13" s="20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6vJ8rJyyF3yRzrYu+Fgyd9f3OUjDB5wzUB/lSy6q2btxmMO6YeAkfRLkyxU44voGuE1OSztgNKT9AyXTGsaxPw==" saltValue="A7TwYbkwlrDQ5jifGbkbwQ==" spinCount="100000" sheet="1" objects="1" scenarios="1"/>
  <mergeCells count="6">
    <mergeCell ref="B3:H4"/>
    <mergeCell ref="B13:H13"/>
    <mergeCell ref="B9:F9"/>
    <mergeCell ref="B8:H8"/>
    <mergeCell ref="B10:F10"/>
    <mergeCell ref="B12:H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20</vt:i4>
      </vt:variant>
    </vt:vector>
  </HeadingPairs>
  <TitlesOfParts>
    <vt:vector size="20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Periodevise driftsomk.</vt:lpstr>
      <vt:lpstr>Fane 12. Tilknyttet aktivitet</vt:lpstr>
      <vt:lpstr>Fane 13. Bortfald</vt:lpstr>
      <vt:lpstr>Fane 14. Hist. over-underdæk.</vt:lpstr>
      <vt:lpstr>Fane 15.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2019-09-13T12:04:45Z</dcterms:modified>
</cp:coreProperties>
</file>