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ruer Forsyning Vand AS (V17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 l="1"/>
  <c r="E13" i="11"/>
  <c r="E10" i="11"/>
  <c r="E18" i="32" l="1"/>
  <c r="G7" i="30" l="1"/>
  <c r="E9" i="32" l="1"/>
  <c r="E32" i="32" s="1"/>
  <c r="E9" i="40" l="1"/>
  <c r="E10" i="40" s="1"/>
  <c r="C32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1" i="36" l="1"/>
  <c r="G38" i="36" s="1"/>
  <c r="C13" i="15"/>
  <c r="G32" i="30"/>
  <c r="G39" i="30" s="1"/>
  <c r="C12" i="15"/>
  <c r="G40" i="30"/>
  <c r="C11" i="22"/>
  <c r="G39" i="36"/>
  <c r="C12" i="22"/>
  <c r="G45" i="36"/>
  <c r="C10" i="23"/>
  <c r="C9" i="23"/>
  <c r="G46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14" i="39" s="1"/>
  <c r="C25" i="2" s="1"/>
  <c r="E29" i="39"/>
  <c r="E28" i="39"/>
  <c r="C21" i="39"/>
  <c r="C20" i="39"/>
  <c r="C22" i="39" s="1"/>
  <c r="C22" i="15" s="1"/>
  <c r="C37" i="39"/>
  <c r="C36" i="39"/>
  <c r="E21" i="39"/>
  <c r="E20" i="39"/>
  <c r="E22" i="39" s="1"/>
  <c r="C23" i="15" s="1"/>
  <c r="E37" i="39"/>
  <c r="E36" i="39"/>
  <c r="E38" i="39" l="1"/>
  <c r="C20" i="23" s="1"/>
  <c r="C38" i="39"/>
  <c r="C19" i="23" s="1"/>
  <c r="E30" i="39"/>
  <c r="C22" i="22" s="1"/>
  <c r="C30" i="39"/>
  <c r="C21" i="22" s="1"/>
  <c r="C14" i="39"/>
  <c r="C24" i="2" s="1"/>
  <c r="G12" i="10"/>
  <c r="G14" i="10" s="1"/>
  <c r="C21" i="23" l="1"/>
  <c r="C23" i="22"/>
  <c r="C24" i="15"/>
  <c r="C26" i="2"/>
  <c r="G6" i="36" l="1"/>
  <c r="G10" i="36" l="1"/>
  <c r="G11" i="30"/>
  <c r="G13" i="30" s="1"/>
  <c r="G12" i="36" l="1"/>
  <c r="G16" i="36" s="1"/>
  <c r="G19" i="36" l="1"/>
  <c r="G23" i="36" s="1"/>
  <c r="G17" i="30"/>
  <c r="G20" i="30" l="1"/>
  <c r="G24" i="30" s="1"/>
  <c r="E21" i="27"/>
  <c r="E20" i="27" l="1"/>
  <c r="E18" i="27" l="1"/>
  <c r="E27" i="32" l="1"/>
  <c r="E37" i="32" s="1"/>
  <c r="E39" i="32" l="1"/>
  <c r="C23" i="23" s="1"/>
  <c r="C30" i="2"/>
  <c r="C26" i="15" l="1"/>
  <c r="C25" i="22" s="1"/>
  <c r="F14" i="11"/>
  <c r="C10" i="37" s="1"/>
  <c r="C11" i="37" s="1"/>
  <c r="C12" i="37" s="1"/>
  <c r="C10" i="2" s="1"/>
  <c r="G14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9" i="22"/>
  <c r="C20" i="15"/>
  <c r="C22" i="2"/>
  <c r="E12" i="21"/>
  <c r="C13" i="2" s="1"/>
  <c r="C12" i="21"/>
  <c r="C12" i="2" s="1"/>
  <c r="C10" i="15" l="1"/>
  <c r="C9" i="22" s="1"/>
  <c r="G25" i="30"/>
  <c r="G31" i="30" s="1"/>
  <c r="G38" i="30" s="1"/>
  <c r="G26" i="30" l="1"/>
  <c r="C18" i="2" s="1"/>
  <c r="G30" i="30"/>
  <c r="G37" i="30" s="1"/>
  <c r="G33" i="30" l="1"/>
  <c r="E14" i="11"/>
  <c r="E10" i="37" s="1"/>
  <c r="E11" i="37" s="1"/>
  <c r="E12" i="37" s="1"/>
  <c r="C11" i="2" s="1"/>
  <c r="C11" i="15" s="1"/>
  <c r="C10" i="22" s="1"/>
  <c r="C28" i="2"/>
  <c r="G24" i="36" l="1"/>
  <c r="C16" i="15"/>
  <c r="G25" i="36" l="1"/>
  <c r="G30" i="36"/>
  <c r="G37" i="36" s="1"/>
  <c r="G29" i="36"/>
  <c r="G41" i="30"/>
  <c r="G32" i="36" l="1"/>
  <c r="G36" i="36"/>
  <c r="G40" i="36" s="1"/>
  <c r="C15" i="22"/>
  <c r="G45" i="30" l="1"/>
  <c r="C19" i="2"/>
  <c r="G47" i="30" l="1"/>
  <c r="C13" i="23" s="1"/>
  <c r="C17" i="15" l="1"/>
  <c r="C16" i="22"/>
  <c r="G44" i="36" l="1"/>
  <c r="G46" i="36" s="1"/>
  <c r="C14" i="23" l="1"/>
  <c r="E19" i="27"/>
  <c r="E22" i="27" s="1"/>
  <c r="E31" i="27" l="1"/>
  <c r="C9" i="2"/>
  <c r="C16" i="2" s="1"/>
  <c r="C17" i="2" l="1"/>
  <c r="C20" i="2" s="1"/>
  <c r="C33" i="2" s="1"/>
  <c r="C9" i="15" l="1"/>
  <c r="C14" i="15" l="1"/>
  <c r="C15" i="15" s="1"/>
  <c r="C18" i="15" s="1"/>
  <c r="C8" i="22" l="1"/>
  <c r="C27" i="15"/>
  <c r="C13" i="22" l="1"/>
  <c r="C14" i="22" s="1"/>
  <c r="C17" i="22" l="1"/>
  <c r="C26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<sst xmlns="http://schemas.openxmlformats.org/spreadsheetml/2006/main" count="616" uniqueCount="251">
  <si>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</si>
  <si>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</si>
  <si>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</si>
  <si>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</si>
  <si>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</si>
  <si>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</si>
  <si>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</si>
  <si>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</si>
  <si>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</si>
  <si>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</si>
  <si>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</si>
  <si>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</si>
  <si>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</si>
  <si>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</si>
  <si>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</si>
  <si>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</si>
  <si>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</si>
  <si>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</si>
  <si>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</si>
  <si>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</si>
  <si>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</si>
  <si>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</si>
  <si>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</si>
  <si>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</si>
  <si>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</si>
  <si>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</si>
  <si>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</si>
  <si>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</si>
  <si>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</si>
  <si>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</si>
  <si>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</si>
  <si>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</si>
  <si>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</si>
  <si>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</si>
  <si>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</si>
  <si>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</si>
  <si>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</si>
  <si>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</si>
  <si>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</si>
  <si>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</si>
  <si>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</si>
  <si>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</si>
  <si>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</si>
  <si>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</si>
  <si>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</si>
  <si>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</si>
  <si>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</si>
  <si>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</si>
  <si>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</si>
  <si>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</si>
  <si>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</si>
  <si>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</si>
  <si>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</si>
  <si>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</si>
  <si>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</si>
  <si>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</si>
  <si>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</si>
  <si>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</si>
  <si>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</si>
  <si>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</si>
  <si>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</si>
  <si>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</si>
  <si>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</si>
  <si>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</si>
  <si>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</si>
  <si>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</si>
  <si>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</si>
  <si>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</si>
  <si>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</si>
  <si>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</si>
  <si>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</si>
  <si>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</si>
  <si>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</si>
  <si>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</si>
  <si>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</si>
  <si>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</si>
  <si>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</si>
  <si>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</si>
  <si>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</si>
  <si>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</si>
  <si>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</si>
  <si>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</si>
  <si>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</si>
  <si>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</si>
  <si>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</si>
  <si>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</si>
  <si>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</si>
  <si>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</si>
  <si>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</si>
  <si>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</si>
  <si>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</si>
  <si>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</si>
  <si>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</si>
  <si>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</si>
  <si>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</si>
  <si>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</si>
  <si>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</si>
  <si>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</si>
  <si>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</si>
  <si>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</si>
  <si>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</si>
  <si>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</si>
  <si>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</si>
  <si>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</si>
  <si>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</si>
  <si>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</si>
  <si>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</si>
  <si>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</si>
  <si>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</si>
  <si>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</si>
  <si>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</si>
  <si>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</si>
  <si>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</si>
  <si>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</si>
  <si>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</si>
  <si>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</si>
  <si>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</si>
  <si>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</si>
  <si>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</si>
  <si>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</si>
  <si>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</si>
  <si>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</si>
  <si>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</si>
  <si>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</si>
  <si>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</si>
  <si>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</si>
  <si>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</si>
  <si>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</si>
  <si>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</si>
  <si>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</si>
  <si>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</si>
  <si>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</si>
  <si>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</si>
  <si>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</si>
  <si>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</si>
  <si>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</si>
  <si>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</si>
  <si>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</si>
  <si>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</si>
  <si>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</si>
  <si>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</si>
  <si>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</si>
  <si>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</si>
  <si>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</si>
  <si>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</si>
  <si>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</si>
  <si>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</si>
  <si>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</si>
  <si>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</si>
  <si>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</si>
  <si>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</si>
  <si>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</si>
  <si>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</si>
  <si>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</si>
  <si>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</si>
  <si>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</si>
  <si>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</si>
  <si>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</si>
  <si>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</si>
  <si>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</si>
  <si>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</si>
  <si>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</si>
  <si>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</si>
  <si>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</si>
  <si>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</si>
  <si>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</si>
  <si>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</si>
  <si>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</si>
  <si>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</si>
  <si>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</si>
  <si>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</si>
  <si>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</si>
  <si>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</si>
  <si>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</si>
  <si>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</si>
  <si>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</si>
  <si>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</si>
  <si>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</si>
  <si>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</si>
  <si>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</si>
  <si>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</si>
  <si>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</si>
  <si>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</si>
  <si>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</si>
  <si>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</si>
  <si>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</si>
  <si>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Tillæg/fradrag for korrektion og kontrol </t>
  </si>
  <si>
    <t xml:space="preserve">Note: Denne opgørelse er taget fra jeres afgørelse for den økonomiske ramme for 2019. I kan derfor ikke komme med høringssvar til denne opgørelse. </t>
  </si>
  <si>
    <t xml:space="preserve">Tillæg/fradrag kontrol af den økonomiske ramme for 2018 </t>
  </si>
  <si>
    <t>Til indregning i de økonomiske rammer for 2023-2026</t>
  </si>
  <si>
    <t xml:space="preserve">Tillæg/fradrag i den økonomiske ramme for 2023-2026 i alt 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</si>
  <si>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</si>
  <si>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</si>
  <si>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</si>
  <si>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 xml:space="preserve"> - Heraf nye omkostninger i ØR20 - Drift</t>
  </si>
  <si>
    <t xml:space="preserve"> - Heraf nye omkostninger i ØR20- Anlæg</t>
  </si>
  <si>
    <t>Fane 2.3: Samlet økonomisk ramme for 2022</t>
  </si>
  <si>
    <t>Fane 2.4: Samlet økonomisk ramme for 2023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</si>
  <si>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</si>
  <si>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</si>
  <si>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</si>
  <si>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12: Bortfald eller nedsættelse af omkostninger til mål, medfinansiering eller udvidelse</t>
  </si>
  <si>
    <t>Fane 10.2: Engangstillæg</t>
  </si>
  <si>
    <t>Fane 10.1: Varige tillæg</t>
  </si>
  <si>
    <t>Fane 7: Kontrol med overholdelse af den økonomiske ramme for 2018</t>
  </si>
  <si>
    <t>Fane 4.1</t>
  </si>
  <si>
    <t>Fane 4.2</t>
  </si>
  <si>
    <t>Fane 6</t>
  </si>
  <si>
    <t>Fane 10.1</t>
  </si>
  <si>
    <t>Fane 10.2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</si>
  <si>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</si>
  <si>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</si>
  <si>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</si>
  <si>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</si>
  <si>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</si>
  <si>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</si>
  <si>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</si>
  <si>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</si>
  <si>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</si>
  <si>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- Heraf bortfald af driftsomkostninger i de økonomiske rammer for 2021</t>
  </si>
  <si>
    <t>Generelt effektiviseringskrav til driftsomkostningerne i ØR22</t>
  </si>
  <si>
    <t>- Heraf nye anlægsomkostninger til de økonomiske rammer for 2020</t>
  </si>
  <si>
    <t>- Heraf bortfald af anlægsomkostninger i de økonomiske rammer for 2020</t>
  </si>
  <si>
    <t>Fane 3</t>
  </si>
  <si>
    <t>Fane 3: Videreførte omkostninger fra den økonomiske ramme for 2019</t>
  </si>
  <si>
    <t>Korrektion af driftsomkostninger i grundlaget</t>
  </si>
  <si>
    <t>Korrektion af anlægsomkostninger i grundlaget</t>
  </si>
  <si>
    <t>Fane 13: Historisk over- eller underdækning</t>
  </si>
  <si>
    <t>Fane 11: Tilknyttet aktivitet under hovedvirksomheden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</si>
  <si>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</si>
  <si>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</si>
  <si>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</si>
  <si>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</si>
  <si>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</si>
  <si>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</si>
  <si>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</si>
  <si>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</si>
  <si>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Samlet økonomisk ramme for 2021</t>
  </si>
  <si>
    <t>Samlet økonomisk ramme for 2022</t>
  </si>
  <si>
    <t>Til statusmeddelelse for 2020, 2021 og 2022</t>
  </si>
  <si>
    <t>Afgift for ledningsført vand</t>
  </si>
  <si>
    <t>Afgift til Forsyningssekretariatet</t>
  </si>
  <si>
    <t>Ejendomsskat</t>
  </si>
  <si>
    <t>Ingen engangstillæg</t>
  </si>
  <si>
    <t>SRO-brønd/kvarterbrønd/sektionsbrønd, Konstruktioner</t>
  </si>
  <si>
    <t>Ø110 mm &lt; Ledningsnet ≤ Ø 250 mm</t>
  </si>
  <si>
    <t>Ø 50mm &lt; Ledningsnet ≤ Ø110 mm</t>
  </si>
  <si>
    <t>Anlægsprojekter igangsat senest 1. marts 2016</t>
  </si>
  <si>
    <t>Videreførte omkostninger fra den økonomiske ramme for 2022</t>
  </si>
  <si>
    <t>Til indregning i de økonomiske ramme for 2020-2022</t>
  </si>
  <si>
    <t xml:space="preserve">Tillæg/fradrag i de økonomiske ramme for 2020-2022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</si>
</sst>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239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56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22</v>
      </c>
      <c r="D14" s="62" t="s">
        <v>237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55</v>
      </c>
      <c r="D15" s="62" t="s">
        <v>238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57</v>
      </c>
      <c r="D16" s="62" t="s">
        <v>134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223</v>
      </c>
      <c r="D17" s="62" t="s">
        <v>66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205</v>
      </c>
      <c r="D18" s="68" t="s">
        <v>162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206</v>
      </c>
      <c r="D19" s="68" t="s">
        <v>163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7</v>
      </c>
      <c r="D20" s="68" t="s">
        <v>10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207</v>
      </c>
      <c r="D21" s="59" t="s">
        <v>17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140</v>
      </c>
      <c r="D22" s="53" t="s">
        <v>161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229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58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208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209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210</v>
      </c>
      <c r="D27" s="53" t="s">
        <v>59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180</v>
      </c>
      <c r="D28" s="53" t="s">
        <v>60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61</v>
      </c>
      <c r="D29" s="50" t="s">
        <v>11</v>
      </c>
      <c r="E29" s="51"/>
      <c r="F29" s="51"/>
      <c r="G29" s="52"/>
      <c r="H29" s="1"/>
      <c r="I29" s="1"/>
    </row>
    <row r="30" spans="1:9" x14ac:dyDescent="0.25">
      <c r="A30" s="1"/>
      <c r="B30" s="1"/>
      <c r="C30" s="6" t="s">
        <v>62</v>
      </c>
      <c r="D30" s="56" t="s">
        <v>181</v>
      </c>
      <c r="E30" s="57"/>
      <c r="F30" s="57"/>
      <c r="G30" s="5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vkZl5i9w9DgO1HCVVfLuMeSKticaEn5NA/LmT9hu8fjMj5XrhHWX8gWd2QWGx6J4wEVIJz94YfIaXzPF57g+rQ==" saltValue="AL3paV3TioB1jpt8okupAA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0:G20" location="'Fane 5. Individuelt eff. krav'!A1" display="Individuelt effektiviseringskrav"/>
    <hyperlink ref="D29:G29" location="'Fane 13. Hist. over-underdæk.'!A1" display="Historisk over- eller underdækning"/>
    <hyperlink ref="D19:G19" location="'Fane 4.2. Gen. krav - anlæg'!A1" display="Generelt effektiviseringskrav på anlæg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200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69</v>
      </c>
      <c r="C8" s="95"/>
      <c r="D8" s="96"/>
      <c r="E8" s="1"/>
      <c r="F8" s="1"/>
    </row>
    <row r="9" spans="1:6" ht="15" customHeight="1" x14ac:dyDescent="0.25">
      <c r="A9" s="1"/>
      <c r="B9" s="37" t="s">
        <v>48</v>
      </c>
      <c r="C9" s="11" t="s">
        <v>70</v>
      </c>
      <c r="D9" s="11"/>
      <c r="E9" s="1"/>
      <c r="F9" s="1"/>
    </row>
    <row r="10" spans="1:6" x14ac:dyDescent="0.25">
      <c r="A10" s="1"/>
      <c r="B10" s="46" t="s">
        <v>240</v>
      </c>
      <c r="C10" s="9">
        <v>6032340</v>
      </c>
      <c r="D10" s="14" t="s">
        <v>3</v>
      </c>
      <c r="E10" s="1"/>
      <c r="F10" s="1"/>
    </row>
    <row r="11" spans="1:6" x14ac:dyDescent="0.25">
      <c r="A11" s="1"/>
      <c r="B11" s="46" t="s">
        <v>241</v>
      </c>
      <c r="C11" s="9">
        <v>34091</v>
      </c>
      <c r="D11" s="14" t="s">
        <v>3</v>
      </c>
      <c r="E11" s="1"/>
      <c r="F11" s="1"/>
    </row>
    <row r="12" spans="1:6" x14ac:dyDescent="0.25">
      <c r="A12" s="1"/>
      <c r="B12" s="46" t="s">
        <v>242</v>
      </c>
      <c r="C12" s="9">
        <v>26747</v>
      </c>
      <c r="D12" s="14" t="s">
        <v>3</v>
      </c>
      <c r="E12" s="1"/>
      <c r="F12" s="1"/>
    </row>
    <row r="13" spans="1:6" x14ac:dyDescent="0.25">
      <c r="A13" s="1"/>
      <c r="B13" s="44" t="s">
        <v>71</v>
      </c>
      <c r="C13" s="12">
        <f>SUM(C10:C12)</f>
        <v>6093178</v>
      </c>
      <c r="D13" s="13" t="s">
        <v>3</v>
      </c>
      <c r="E13" s="1"/>
      <c r="F13" s="1"/>
    </row>
    <row r="14" spans="1:6" x14ac:dyDescent="0.25">
      <c r="A14" s="1"/>
      <c r="B14" s="44" t="s">
        <v>72</v>
      </c>
      <c r="C14" s="12">
        <f>C13*(1+'Fane 14. Nøgletal'!C12)^2</f>
        <v>6335613.9146500202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UHFLEEsYS5VzGvZ0MkfEVXUG9MOcBwabWcJw4qXKB/HkflER1SEhYfspOQuyLbphU0qGJKF7nuOKHjFRqq7/Q==" saltValue="g4LiaZzHTqRNcy6xjUdvh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204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94" t="s">
        <v>52</v>
      </c>
      <c r="C6" s="95"/>
      <c r="D6" s="95"/>
      <c r="E6" s="95"/>
      <c r="F6" s="96"/>
      <c r="G6" s="1"/>
    </row>
    <row r="7" spans="1:7" ht="15" customHeight="1" x14ac:dyDescent="0.25">
      <c r="A7" s="1"/>
      <c r="B7" s="97" t="s">
        <v>50</v>
      </c>
      <c r="C7" s="98"/>
      <c r="D7" s="99"/>
      <c r="E7" s="9">
        <v>168791.79786666669</v>
      </c>
      <c r="F7" s="14" t="s">
        <v>3</v>
      </c>
      <c r="G7" s="1"/>
    </row>
    <row r="8" spans="1:7" ht="15" customHeight="1" x14ac:dyDescent="0.25">
      <c r="A8" s="1"/>
      <c r="B8" s="97" t="s">
        <v>51</v>
      </c>
      <c r="C8" s="98"/>
      <c r="D8" s="99"/>
      <c r="E8" s="9">
        <v>-307191.12911295518</v>
      </c>
      <c r="F8" s="14" t="s">
        <v>3</v>
      </c>
      <c r="G8" s="1"/>
    </row>
    <row r="9" spans="1:7" ht="15" customHeight="1" x14ac:dyDescent="0.25">
      <c r="A9" s="1"/>
      <c r="B9" s="108" t="s">
        <v>183</v>
      </c>
      <c r="C9" s="109"/>
      <c r="D9" s="110"/>
      <c r="E9" s="10">
        <f>SUM(E7:E8)</f>
        <v>-138399.33124628849</v>
      </c>
      <c r="F9" s="17" t="s">
        <v>3</v>
      </c>
      <c r="G9" s="1"/>
    </row>
    <row r="10" spans="1:7" ht="15" customHeight="1" x14ac:dyDescent="0.25">
      <c r="A10" s="1"/>
      <c r="B10" s="44"/>
      <c r="C10" s="45"/>
      <c r="D10" s="45"/>
      <c r="E10" s="45"/>
      <c r="F10" s="22"/>
      <c r="G10" s="1"/>
    </row>
    <row r="11" spans="1:7" ht="28.5" customHeight="1" x14ac:dyDescent="0.25">
      <c r="A11" s="1"/>
      <c r="B11" s="85" t="s">
        <v>185</v>
      </c>
      <c r="C11" s="86"/>
      <c r="D11" s="86"/>
      <c r="E11" s="86"/>
      <c r="F11" s="8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165</v>
      </c>
      <c r="C14" s="95"/>
      <c r="D14" s="95"/>
      <c r="E14" s="95"/>
      <c r="F14" s="96"/>
      <c r="G14" s="1"/>
    </row>
    <row r="15" spans="1:7" x14ac:dyDescent="0.25">
      <c r="A15" s="1"/>
      <c r="B15" s="97" t="s">
        <v>166</v>
      </c>
      <c r="C15" s="98"/>
      <c r="D15" s="99"/>
      <c r="E15" s="9">
        <v>16093816.269081067</v>
      </c>
      <c r="F15" s="14" t="s">
        <v>3</v>
      </c>
      <c r="G15" s="1"/>
    </row>
    <row r="16" spans="1:7" x14ac:dyDescent="0.25">
      <c r="A16" s="1"/>
      <c r="B16" s="97" t="s">
        <v>167</v>
      </c>
      <c r="C16" s="98"/>
      <c r="D16" s="99"/>
      <c r="E16" s="9">
        <v>13722166</v>
      </c>
      <c r="F16" s="14" t="s">
        <v>3</v>
      </c>
      <c r="G16" s="1"/>
    </row>
    <row r="17" spans="1:7" x14ac:dyDescent="0.25">
      <c r="A17" s="1"/>
      <c r="B17" s="97" t="s">
        <v>49</v>
      </c>
      <c r="C17" s="98"/>
      <c r="D17" s="99"/>
      <c r="E17" s="9">
        <v>0</v>
      </c>
      <c r="F17" s="14" t="s">
        <v>3</v>
      </c>
      <c r="G17" s="1"/>
    </row>
    <row r="18" spans="1:7" x14ac:dyDescent="0.25">
      <c r="A18" s="1"/>
      <c r="B18" s="108" t="s">
        <v>184</v>
      </c>
      <c r="C18" s="109"/>
      <c r="D18" s="110"/>
      <c r="E18" s="10">
        <f>E15-(E16-E17)</f>
        <v>2371650.2690810673</v>
      </c>
      <c r="F18" s="17" t="s">
        <v>3</v>
      </c>
      <c r="G18" s="1"/>
    </row>
    <row r="19" spans="1:7" x14ac:dyDescent="0.25">
      <c r="A19" s="1"/>
      <c r="B19" s="44"/>
      <c r="C19" s="45"/>
      <c r="D19" s="45"/>
      <c r="E19" s="45"/>
      <c r="F19" s="22"/>
      <c r="G19" s="1"/>
    </row>
    <row r="20" spans="1:7" ht="27.75" customHeight="1" x14ac:dyDescent="0.25">
      <c r="A20" s="1"/>
      <c r="B20" s="85" t="s">
        <v>187</v>
      </c>
      <c r="C20" s="86"/>
      <c r="D20" s="86"/>
      <c r="E20" s="86"/>
      <c r="F20" s="87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4" t="s">
        <v>77</v>
      </c>
      <c r="C23" s="95"/>
      <c r="D23" s="95"/>
      <c r="E23" s="95"/>
      <c r="F23" s="96"/>
      <c r="G23" s="1"/>
    </row>
    <row r="24" spans="1:7" x14ac:dyDescent="0.25">
      <c r="A24" s="1"/>
      <c r="B24" s="97" t="s">
        <v>78</v>
      </c>
      <c r="C24" s="98"/>
      <c r="D24" s="99"/>
      <c r="E24" s="9">
        <v>14913453.721859027</v>
      </c>
      <c r="F24" s="14" t="s">
        <v>3</v>
      </c>
      <c r="G24" s="1"/>
    </row>
    <row r="25" spans="1:7" x14ac:dyDescent="0.25">
      <c r="A25" s="1"/>
      <c r="B25" s="97" t="s">
        <v>79</v>
      </c>
      <c r="C25" s="98"/>
      <c r="D25" s="99"/>
      <c r="E25" s="9">
        <v>14575099</v>
      </c>
      <c r="F25" s="14" t="s">
        <v>3</v>
      </c>
      <c r="G25" s="1"/>
    </row>
    <row r="26" spans="1:7" x14ac:dyDescent="0.25">
      <c r="A26" s="1"/>
      <c r="B26" s="97" t="s">
        <v>49</v>
      </c>
      <c r="C26" s="98"/>
      <c r="D26" s="99"/>
      <c r="E26" s="9">
        <v>0</v>
      </c>
      <c r="F26" s="14" t="s">
        <v>3</v>
      </c>
      <c r="G26" s="1"/>
    </row>
    <row r="27" spans="1:7" x14ac:dyDescent="0.25">
      <c r="A27" s="1"/>
      <c r="B27" s="108" t="s">
        <v>184</v>
      </c>
      <c r="C27" s="109"/>
      <c r="D27" s="110"/>
      <c r="E27" s="10">
        <f>E24-(E25-E26)</f>
        <v>338354.7218590267</v>
      </c>
      <c r="F27" s="17" t="s">
        <v>3</v>
      </c>
      <c r="G27" s="1"/>
    </row>
    <row r="28" spans="1:7" x14ac:dyDescent="0.25">
      <c r="A28" s="1"/>
      <c r="B28" s="44"/>
      <c r="C28" s="45"/>
      <c r="D28" s="45"/>
      <c r="E28" s="45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4" t="s">
        <v>249</v>
      </c>
      <c r="C31" s="95"/>
      <c r="D31" s="95"/>
      <c r="E31" s="95"/>
      <c r="F31" s="96"/>
      <c r="G31" s="1"/>
    </row>
    <row r="32" spans="1:7" x14ac:dyDescent="0.25">
      <c r="A32" s="1"/>
      <c r="B32" s="108" t="s">
        <v>250</v>
      </c>
      <c r="C32" s="109"/>
      <c r="D32" s="110"/>
      <c r="E32" s="10">
        <f>IF(AND(E9&gt;0,E18&gt;0),E9/4,IF(AND(E9&gt;0,E18&lt;0,ABS(E9)&gt;ABS(E18)),(E9+E18)/4,IF(AND(E9&lt;0,E18&gt;0,ABS(E9)&gt;ABS(E18)),(E9+E18)/4,IF(AND(E9&gt;0,E18&lt;0,ABS(E9)&lt;ABS(E18)),(E9+E18)/4+IF(E9+E18+E27&gt;0,(E27-(E9+E18+E27))/3,IF(E9+E18+E27=0,E27/3,IF(AND(E27&gt;0,E9+E18+E27&lt;0),E27/3,0))),IF(AND(E9&lt;0,E18&lt;0),(E9+E18)/4+IF(E9+E18+E27&gt;0,(E27-(E9+E18+E27))/3,IF(E9+E18+E27=0,E27/3,IF(AND(E27&gt;0,E9+E18+E27&lt;0),E27/3,0))),0)))))</f>
        <v>0</v>
      </c>
      <c r="F32" s="17" t="s">
        <v>3</v>
      </c>
      <c r="G32" s="1"/>
    </row>
    <row r="33" spans="1:7" x14ac:dyDescent="0.25">
      <c r="A33" s="1"/>
      <c r="B33" s="94"/>
      <c r="C33" s="95"/>
      <c r="D33" s="95"/>
      <c r="E33" s="95"/>
      <c r="F33" s="96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4" t="s">
        <v>189</v>
      </c>
      <c r="C36" s="95"/>
      <c r="D36" s="95"/>
      <c r="E36" s="95"/>
      <c r="F36" s="96"/>
      <c r="G36" s="1"/>
    </row>
    <row r="37" spans="1:7" x14ac:dyDescent="0.25">
      <c r="A37" s="1"/>
      <c r="B37" s="103" t="s">
        <v>53</v>
      </c>
      <c r="C37" s="104"/>
      <c r="D37" s="105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3" t="s">
        <v>182</v>
      </c>
      <c r="C38" s="104"/>
      <c r="D38" s="105"/>
      <c r="E38" s="9">
        <v>4</v>
      </c>
      <c r="F38" s="14" t="s">
        <v>27</v>
      </c>
      <c r="G38" s="1"/>
    </row>
    <row r="39" spans="1:7" x14ac:dyDescent="0.25">
      <c r="A39" s="1"/>
      <c r="B39" s="108" t="s">
        <v>190</v>
      </c>
      <c r="C39" s="109"/>
      <c r="D39" s="110"/>
      <c r="E39" s="10">
        <f>E37/E38</f>
        <v>0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c4sGyalEqsqNKA3QLBG73ttx0wcLx2YSF4HKPwTmgZ6+NshizHuLrlD+VO+1Sde3UpOg/xDXpx7UAVtV87A3g==" saltValue="ISfNOhjfxE41GFcbvlvC3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231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159</v>
      </c>
      <c r="C8" s="95"/>
      <c r="D8" s="95"/>
      <c r="E8" s="95"/>
      <c r="F8" s="96"/>
      <c r="G8" s="1"/>
    </row>
    <row r="9" spans="1:7" ht="29.25" customHeight="1" x14ac:dyDescent="0.25">
      <c r="A9" s="1"/>
      <c r="B9" s="91" t="s">
        <v>164</v>
      </c>
      <c r="C9" s="92"/>
      <c r="D9" s="93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Nøgletal'!C10))/4),0)&lt;0,-((('Fane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Nøgletal'!C10))/4),0)</f>
        <v>0</v>
      </c>
      <c r="F9" s="11" t="s">
        <v>3</v>
      </c>
      <c r="G9" s="1"/>
    </row>
    <row r="10" spans="1:7" x14ac:dyDescent="0.25">
      <c r="A10" s="1"/>
      <c r="B10" s="44" t="s">
        <v>175</v>
      </c>
      <c r="C10" s="45"/>
      <c r="D10" s="45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EkWqdvu0IDXu+WWz7NYEFUQCnmY7UUytCdhWzETRo262ftceeBqshu0sXBbXGhV45T/33LRSRs4j6Z7HgC5fw==" saltValue="viCXRDnamGShU7jZ7PoSM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232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233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39"/>
      <c r="I9" s="1"/>
    </row>
    <row r="10" spans="1:9" ht="39" x14ac:dyDescent="0.25">
      <c r="A10" s="1"/>
      <c r="B10" s="114" t="s">
        <v>244</v>
      </c>
      <c r="C10" s="115">
        <v>50</v>
      </c>
      <c r="D10" s="9">
        <v>35488</v>
      </c>
      <c r="E10" s="9">
        <f>IFERROR(D10/C10,0)</f>
        <v>709.76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4" t="s">
        <v>245</v>
      </c>
      <c r="C11" s="115">
        <v>75</v>
      </c>
      <c r="D11" s="9">
        <v>651000</v>
      </c>
      <c r="E11" s="9">
        <f t="shared" ref="E11" si="0">IFERROR(D11/C11,0)</f>
        <v>8680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114" t="s">
        <v>246</v>
      </c>
      <c r="C12" s="115">
        <v>75</v>
      </c>
      <c r="D12" s="9">
        <v>461634</v>
      </c>
      <c r="E12" s="9">
        <f t="shared" ref="E12:E13" si="1">IFERROR(D12/C12,0)</f>
        <v>6155.12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114" t="s">
        <v>246</v>
      </c>
      <c r="C13" s="115">
        <v>75</v>
      </c>
      <c r="D13" s="9">
        <v>533758</v>
      </c>
      <c r="E13" s="9">
        <f t="shared" si="1"/>
        <v>7116.7733333333335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94" t="s">
        <v>234</v>
      </c>
      <c r="C14" s="95"/>
      <c r="D14" s="96"/>
      <c r="E14" s="12">
        <f>SUM(E10:E13)</f>
        <v>22661.653333333335</v>
      </c>
      <c r="F14" s="12">
        <f>SUM(F10:F13)</f>
        <v>0</v>
      </c>
      <c r="G14" s="12">
        <f>SUM(G10:G13)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</sheetData>
  <sheetProtection algorithmName="SHA-512" hashValue="y93SZkrQmfLr5xINquf6oQ548FmFKp9s57C8dc8zQUi9eJMC/aPynOqDe6WRrkFhRTWiptNgoPAgTKZtdtLAnw==" saltValue="FmSqv9q0CNga6lUBjsXFxg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137</v>
      </c>
      <c r="C8" s="45"/>
      <c r="D8" s="45"/>
      <c r="E8" s="45"/>
      <c r="F8" s="22"/>
      <c r="G8" s="1"/>
    </row>
    <row r="9" spans="1:7" ht="17.25" customHeight="1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247</v>
      </c>
      <c r="C10" s="24">
        <f>'Fane 9. Anlægsprojekter'!F14</f>
        <v>0</v>
      </c>
      <c r="D10" s="14" t="s">
        <v>3</v>
      </c>
      <c r="E10" s="9">
        <f>SUM('Fane 9. Anlægsprojekter'!E14,'Fane 9. Anlægsprojekter'!G14)</f>
        <v>22661.653333333335</v>
      </c>
      <c r="F10" s="14" t="s">
        <v>3</v>
      </c>
      <c r="G10" s="1"/>
    </row>
    <row r="11" spans="1:7" x14ac:dyDescent="0.25">
      <c r="A11" s="1"/>
      <c r="B11" s="44" t="s">
        <v>63</v>
      </c>
      <c r="C11" s="12">
        <f>SUM(C10:C10)</f>
        <v>0</v>
      </c>
      <c r="D11" s="13" t="s">
        <v>3</v>
      </c>
      <c r="E11" s="12">
        <f>SUM(E10:E10)</f>
        <v>22661.653333333335</v>
      </c>
      <c r="F11" s="13" t="s">
        <v>3</v>
      </c>
      <c r="G11" s="1"/>
    </row>
    <row r="12" spans="1:7" x14ac:dyDescent="0.25">
      <c r="A12" s="1"/>
      <c r="B12" s="44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23108.087904000004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lcOrnXwekq/1JCLTDrtJkTw/2wv7Q4nq/iUZohvlX09PFHfA/LV6/rUTJWmiQkahW598E8QgHP9RdNqWotsOA==" saltValue="qIYCzBFiuqSDYV16O+XO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202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168</v>
      </c>
      <c r="C8" s="95"/>
      <c r="D8" s="95"/>
      <c r="E8" s="95"/>
      <c r="F8" s="96"/>
      <c r="G8" s="1"/>
    </row>
    <row r="9" spans="1:7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4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169</v>
      </c>
      <c r="C16" s="95"/>
      <c r="D16" s="95"/>
      <c r="E16" s="95"/>
      <c r="F16" s="96"/>
      <c r="G16" s="1"/>
    </row>
    <row r="17" spans="1:7" x14ac:dyDescent="0.25">
      <c r="A17" s="1"/>
      <c r="B17" s="40" t="s">
        <v>24</v>
      </c>
      <c r="C17" s="40" t="s">
        <v>16</v>
      </c>
      <c r="D17" s="41"/>
      <c r="E17" s="40" t="s">
        <v>47</v>
      </c>
      <c r="F17" s="39"/>
      <c r="G17" s="1"/>
    </row>
    <row r="18" spans="1:7" x14ac:dyDescent="0.25">
      <c r="A18" s="1"/>
      <c r="B18" s="27" t="s">
        <v>243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4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170</v>
      </c>
      <c r="C24" s="95"/>
      <c r="D24" s="95"/>
      <c r="E24" s="95"/>
      <c r="F24" s="96"/>
      <c r="G24" s="1"/>
    </row>
    <row r="25" spans="1:7" x14ac:dyDescent="0.25">
      <c r="A25" s="1"/>
      <c r="B25" s="40" t="s">
        <v>24</v>
      </c>
      <c r="C25" s="40" t="s">
        <v>16</v>
      </c>
      <c r="D25" s="41"/>
      <c r="E25" s="40" t="s">
        <v>47</v>
      </c>
      <c r="F25" s="39"/>
      <c r="G25" s="1"/>
    </row>
    <row r="26" spans="1:7" x14ac:dyDescent="0.25">
      <c r="A26" s="1"/>
      <c r="B26" s="27" t="s">
        <v>243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4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171</v>
      </c>
      <c r="C32" s="95"/>
      <c r="D32" s="95"/>
      <c r="E32" s="95"/>
      <c r="F32" s="96"/>
      <c r="G32" s="1"/>
    </row>
    <row r="33" spans="1:7" x14ac:dyDescent="0.25">
      <c r="A33" s="1"/>
      <c r="B33" s="40" t="s">
        <v>24</v>
      </c>
      <c r="C33" s="40" t="s">
        <v>16</v>
      </c>
      <c r="D33" s="41"/>
      <c r="E33" s="40" t="s">
        <v>47</v>
      </c>
      <c r="F33" s="39"/>
      <c r="G33" s="1"/>
    </row>
    <row r="34" spans="1:7" x14ac:dyDescent="0.25">
      <c r="A34" s="1"/>
      <c r="B34" s="27" t="s">
        <v>243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4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jX4PeLQRpj55kfqL7vVAgRcVh7y6q1lVa+I7cfQngsc3CqptAkV358BTFk+syJed6C5xpbJuLL8oQBzVUHoEw==" saltValue="kEywypYgmHKxWe6H9tf4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228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31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32</v>
      </c>
      <c r="C9" s="91" t="s">
        <v>16</v>
      </c>
      <c r="D9" s="93"/>
      <c r="E9" s="91" t="s">
        <v>47</v>
      </c>
      <c r="F9" s="93"/>
      <c r="G9" s="1"/>
    </row>
    <row r="10" spans="1:7" x14ac:dyDescent="0.25">
      <c r="A10" s="1"/>
      <c r="B10" s="27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igxoHUEQYeq/FVlZLxd2hJWgZbp50PknSZM+j1olmPfUQ8M2XhQLk+f2AeNF5nmLuXDXcs7lLG9OVHunRU2VA==" saltValue="cTH8zh+3JMbo+U/Ro8t3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201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25</v>
      </c>
      <c r="C9" s="38" t="s">
        <v>16</v>
      </c>
      <c r="D9" s="39"/>
      <c r="E9" s="38" t="s">
        <v>47</v>
      </c>
      <c r="F9" s="39"/>
      <c r="G9" s="1"/>
    </row>
    <row r="10" spans="1:7" x14ac:dyDescent="0.25">
      <c r="A10" s="1"/>
      <c r="B10" s="27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157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25</v>
      </c>
      <c r="C15" s="38" t="s">
        <v>16</v>
      </c>
      <c r="D15" s="39"/>
      <c r="E15" s="38" t="s">
        <v>47</v>
      </c>
      <c r="F15" s="39"/>
      <c r="G15" s="1"/>
    </row>
    <row r="16" spans="1:7" x14ac:dyDescent="0.25">
      <c r="A16" s="1"/>
      <c r="B16" s="27" t="s">
        <v>236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4" t="s">
        <v>64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4" t="s">
        <v>148</v>
      </c>
      <c r="C18" s="12">
        <f>C17*(1+'Fane 14. Nøgletal'!C12)^2</f>
        <v>0</v>
      </c>
      <c r="D18" s="13" t="s">
        <v>3</v>
      </c>
      <c r="E18" s="12">
        <f>E17*(1+'Fane 14.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25</v>
      </c>
      <c r="C21" s="38" t="s">
        <v>16</v>
      </c>
      <c r="D21" s="39"/>
      <c r="E21" s="38" t="s">
        <v>47</v>
      </c>
      <c r="F21" s="39"/>
      <c r="G21" s="1"/>
    </row>
    <row r="22" spans="1:7" x14ac:dyDescent="0.25">
      <c r="A22" s="1"/>
      <c r="B22" s="27" t="s">
        <v>236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4" t="s">
        <v>64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4" t="s">
        <v>149</v>
      </c>
      <c r="C24" s="12">
        <f>C23*(1+'Fane 14. Nøgletal'!C12)^3</f>
        <v>0</v>
      </c>
      <c r="D24" s="13" t="s">
        <v>3</v>
      </c>
      <c r="E24" s="12">
        <f>E23*(1+'Fane 14.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158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25</v>
      </c>
      <c r="C27" s="38" t="s">
        <v>16</v>
      </c>
      <c r="D27" s="39"/>
      <c r="E27" s="38" t="s">
        <v>47</v>
      </c>
      <c r="F27" s="39"/>
      <c r="G27" s="1"/>
    </row>
    <row r="28" spans="1:7" x14ac:dyDescent="0.25">
      <c r="A28" s="1"/>
      <c r="B28" s="27" t="s">
        <v>236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4" t="s">
        <v>64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4" t="s">
        <v>150</v>
      </c>
      <c r="C30" s="12">
        <f>C29*(1+'Fane 14. Nøgletal'!C12)^4</f>
        <v>0</v>
      </c>
      <c r="D30" s="13" t="s">
        <v>3</v>
      </c>
      <c r="E30" s="12">
        <f>E29*(1+'Fane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ygCMHTE3G0Ca3AC+KOMGACNTniwbD4tJ9a4Qm6rImSm8WwHCDqEYel+69Ma2DR26ak6gykAobQkheXxulPQ+Q==" saltValue="i8fN4APYt/IQfL4DP3prw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227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-1043258</v>
      </c>
      <c r="H9" s="14" t="s">
        <v>3</v>
      </c>
      <c r="I9" s="1"/>
    </row>
    <row r="10" spans="1:9" x14ac:dyDescent="0.25">
      <c r="A10" s="1"/>
      <c r="B10" s="97" t="s">
        <v>135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80</v>
      </c>
      <c r="C11" s="98"/>
      <c r="D11" s="98"/>
      <c r="E11" s="98"/>
      <c r="F11" s="99"/>
      <c r="G11" s="9">
        <v>1043257.6666666667</v>
      </c>
      <c r="H11" s="14" t="s">
        <v>3</v>
      </c>
      <c r="I11" s="1"/>
    </row>
    <row r="12" spans="1:9" x14ac:dyDescent="0.25">
      <c r="A12" s="1"/>
      <c r="B12" s="111" t="s">
        <v>15</v>
      </c>
      <c r="C12" s="112"/>
      <c r="D12" s="112"/>
      <c r="E12" s="112"/>
      <c r="F12" s="113"/>
      <c r="G12" s="19">
        <f>(G9+G10)+G11</f>
        <v>-0.33333333325572312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27</v>
      </c>
      <c r="I13" s="1"/>
    </row>
    <row r="14" spans="1:9" x14ac:dyDescent="0.25">
      <c r="A14" s="1"/>
      <c r="B14" s="94" t="s">
        <v>136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wr7J8ufJdSBP9PuyOG6CAp0Mf+NI5Bk+Hc6pxukDlNEWXuhVbLAOft9AKZ6ldWAYuyIph6/1k/Pt3u3YC0+YA==" saltValue="ZCTcxZJB0CsxN5HwpAIs2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1" t="s">
        <v>54</v>
      </c>
      <c r="C3" s="81"/>
      <c r="D3" s="1"/>
    </row>
    <row r="4" spans="1:4" ht="25.5" customHeight="1" x14ac:dyDescent="0.25">
      <c r="A4" s="1"/>
      <c r="B4" s="81"/>
      <c r="C4" s="8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21</v>
      </c>
      <c r="C8" s="22"/>
      <c r="D8" s="1"/>
    </row>
    <row r="9" spans="1:4" x14ac:dyDescent="0.25">
      <c r="A9" s="1"/>
      <c r="B9" s="46" t="s">
        <v>211</v>
      </c>
      <c r="C9" s="28">
        <v>1.2699999999999999E-2</v>
      </c>
      <c r="D9" s="1"/>
    </row>
    <row r="10" spans="1:4" x14ac:dyDescent="0.25">
      <c r="A10" s="1"/>
      <c r="B10" s="46" t="s">
        <v>30</v>
      </c>
      <c r="C10" s="28">
        <v>1.7500000000000002E-2</v>
      </c>
      <c r="D10" s="1"/>
    </row>
    <row r="11" spans="1:4" x14ac:dyDescent="0.25">
      <c r="A11" s="1"/>
      <c r="B11" s="46" t="s">
        <v>212</v>
      </c>
      <c r="C11" s="28">
        <v>1.6899999999999998E-2</v>
      </c>
      <c r="D11" s="1"/>
    </row>
    <row r="12" spans="1:4" x14ac:dyDescent="0.25">
      <c r="A12" s="1"/>
      <c r="B12" s="33" t="s">
        <v>73</v>
      </c>
      <c r="C12" s="34">
        <v>1.9699999999999999E-2</v>
      </c>
      <c r="D12" s="1"/>
    </row>
    <row r="13" spans="1:4" x14ac:dyDescent="0.25">
      <c r="A13" s="1"/>
      <c r="B13" s="44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178</v>
      </c>
      <c r="C16" s="22"/>
      <c r="D16" s="1"/>
    </row>
    <row r="17" spans="1:4" x14ac:dyDescent="0.25">
      <c r="A17" s="1"/>
      <c r="B17" s="46" t="s">
        <v>213</v>
      </c>
      <c r="C17" s="25">
        <v>9.1000000000000004E-3</v>
      </c>
      <c r="D17" s="1"/>
    </row>
    <row r="18" spans="1:4" x14ac:dyDescent="0.25">
      <c r="A18" s="1"/>
      <c r="B18" s="46" t="s">
        <v>214</v>
      </c>
      <c r="C18" s="25">
        <v>1.77E-2</v>
      </c>
      <c r="D18" s="1"/>
    </row>
    <row r="19" spans="1:4" x14ac:dyDescent="0.25">
      <c r="A19" s="1"/>
      <c r="B19" s="46" t="s">
        <v>216</v>
      </c>
      <c r="C19" s="25">
        <v>8.6999999999999994E-3</v>
      </c>
      <c r="D19" s="1"/>
    </row>
    <row r="20" spans="1:4" x14ac:dyDescent="0.25">
      <c r="A20" s="1"/>
      <c r="B20" s="46" t="s">
        <v>215</v>
      </c>
      <c r="C20" s="35">
        <v>2.8400000000000002E-2</v>
      </c>
      <c r="D20" s="1"/>
    </row>
    <row r="21" spans="1:4" x14ac:dyDescent="0.25">
      <c r="A21" s="1"/>
      <c r="B21" s="44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4" t="s">
        <v>179</v>
      </c>
      <c r="C24" s="22"/>
      <c r="D24" s="1"/>
    </row>
    <row r="25" spans="1:4" x14ac:dyDescent="0.25">
      <c r="A25" s="1"/>
      <c r="B25" s="46" t="s">
        <v>217</v>
      </c>
      <c r="C25" s="28">
        <v>0.02</v>
      </c>
      <c r="D25" s="1"/>
    </row>
    <row r="26" spans="1:4" x14ac:dyDescent="0.25">
      <c r="A26" s="1"/>
      <c r="B26" s="44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gRDwBwn6fGdYBE8g92mISQ0qhFBT5+lt7B/0dfMKCcQ5Xbka+TBDji6Y3gUjnJCxD8tnoG1pLWpG3pNU6YCvJw==" saltValue="SM/EeA/BRhzdEH99OxMWo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65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x14ac:dyDescent="0.25">
      <c r="A9" s="1"/>
      <c r="B9" s="43" t="s">
        <v>34</v>
      </c>
      <c r="C9" s="7">
        <f>'Fane 3. Omkostninger i ØR2019'!E22</f>
        <v>8929242.7988731619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23108.087904000004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151359.43263266524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-71962.224954145553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-49144.319618992333</v>
      </c>
      <c r="D19" s="8" t="s">
        <v>3</v>
      </c>
      <c r="E19" s="1"/>
    </row>
    <row r="20" spans="1:5" ht="17.100000000000001" customHeight="1" x14ac:dyDescent="0.25">
      <c r="A20" s="1"/>
      <c r="B20" s="49" t="s">
        <v>28</v>
      </c>
      <c r="C20" s="10">
        <f>SUM(C9:C19)</f>
        <v>8982603.7748366911</v>
      </c>
      <c r="D20" s="11" t="s">
        <v>3</v>
      </c>
      <c r="E20" s="1"/>
    </row>
    <row r="21" spans="1:5" ht="15" customHeight="1" x14ac:dyDescent="0.25">
      <c r="A21" s="1"/>
      <c r="B21" s="44" t="s">
        <v>17</v>
      </c>
      <c r="C21" s="45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</f>
        <v>6335613.9146500202</v>
      </c>
      <c r="D22" s="11" t="s">
        <v>3</v>
      </c>
      <c r="E22" s="1"/>
    </row>
    <row r="23" spans="1:5" ht="15" customHeight="1" x14ac:dyDescent="0.25">
      <c r="A23" s="1"/>
      <c r="B23" s="44" t="s">
        <v>142</v>
      </c>
      <c r="C23" s="45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9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4" t="s">
        <v>11</v>
      </c>
      <c r="C27" s="45"/>
      <c r="D27" s="22"/>
      <c r="E27" s="1"/>
    </row>
    <row r="28" spans="1:5" ht="15" customHeight="1" x14ac:dyDescent="0.25">
      <c r="A28" s="1"/>
      <c r="B28" s="38" t="s">
        <v>19</v>
      </c>
      <c r="C28" s="10">
        <f>'Fane 13. Hist. over-underdæk.'!G14</f>
        <v>0</v>
      </c>
      <c r="D28" s="11" t="s">
        <v>3</v>
      </c>
      <c r="E28" s="1"/>
    </row>
    <row r="29" spans="1:5" x14ac:dyDescent="0.25">
      <c r="A29" s="1"/>
      <c r="B29" s="44" t="s">
        <v>53</v>
      </c>
      <c r="C29" s="45"/>
      <c r="D29" s="22"/>
      <c r="E29" s="1"/>
    </row>
    <row r="30" spans="1:5" x14ac:dyDescent="0.25">
      <c r="A30" s="1"/>
      <c r="B30" s="37" t="s">
        <v>186</v>
      </c>
      <c r="C30" s="10">
        <f>'Fane 7. Kontrol af ØR2018'!E32</f>
        <v>0</v>
      </c>
      <c r="D30" s="11" t="s">
        <v>3</v>
      </c>
      <c r="E30" s="1"/>
    </row>
    <row r="31" spans="1:5" x14ac:dyDescent="0.25">
      <c r="A31" s="1"/>
      <c r="B31" s="44" t="s">
        <v>229</v>
      </c>
      <c r="C31" s="45"/>
      <c r="D31" s="22"/>
      <c r="E31" s="1"/>
    </row>
    <row r="32" spans="1:5" x14ac:dyDescent="0.25">
      <c r="A32" s="1"/>
      <c r="B32" s="38" t="s">
        <v>230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4" t="s">
        <v>35</v>
      </c>
      <c r="C33" s="12">
        <f>SUM(C20,C22,C26,C28,C30,C32)</f>
        <v>15318217.689486712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bZiPSYgxq1+FRvk105HuM0o7bGmTgY+sFFfYvikyid/nXDWY4063nMZG1eDfA71yEkahWN4GDV2tV9CZY1ZzLw==" saltValue="cG/7vXaYblRX7LUU4GZ57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85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ht="15" customHeight="1" x14ac:dyDescent="0.25">
      <c r="A9" s="1"/>
      <c r="B9" s="43" t="s">
        <v>36</v>
      </c>
      <c r="C9" s="7">
        <f>'Fane 2.1. Økonomisk ramme 2020'!C20</f>
        <v>8982603.7748366911</v>
      </c>
      <c r="D9" s="8" t="s">
        <v>3</v>
      </c>
      <c r="E9" s="1"/>
    </row>
    <row r="10" spans="1:5" ht="15" customHeight="1" x14ac:dyDescent="0.25">
      <c r="A10" s="1"/>
      <c r="B10" s="47" t="s">
        <v>194</v>
      </c>
      <c r="C10" s="7">
        <f>('Fane 2.1. Økonomisk ramme 2020'!C10+'Fane 2.1. Økonomisk ramme 2020'!C12+'Fane 2.1. Økonomisk ramme 2020'!C14)*(1-'Fane 14. Nøgletal'!C25-'Fane 5. Individuelt eff. krav'!G10)*(1+'Fane 14. Nøgletal'!C12)</f>
        <v>0</v>
      </c>
      <c r="D10" s="8" t="s">
        <v>3</v>
      </c>
      <c r="E10" s="1"/>
    </row>
    <row r="11" spans="1:5" ht="15" customHeight="1" x14ac:dyDescent="0.25">
      <c r="A11" s="1"/>
      <c r="B11" s="47" t="s">
        <v>195</v>
      </c>
      <c r="C11" s="7">
        <f>('Fane 2.1. Økonomisk ramme 2020'!C11+'Fane 2.1. Økonomisk ramme 2020'!C13+'Fane 2.1. Økonomisk ramme 2020'!C15)*(1-'Fane 14. Nøgletal'!C20-'Fane 5. Individuelt eff. krav'!G10)*(1+'Fane 14. Nøgletal'!C12)</f>
        <v>22894.119026214677</v>
      </c>
      <c r="D11" s="8" t="s">
        <v>3</v>
      </c>
      <c r="E11" s="1"/>
    </row>
    <row r="12" spans="1:5" ht="15" customHeight="1" x14ac:dyDescent="0.25">
      <c r="A12" s="1"/>
      <c r="B12" s="32" t="s">
        <v>41</v>
      </c>
      <c r="C12" s="7">
        <f>-'Fane 12. Bortfald'!C18</f>
        <v>0</v>
      </c>
      <c r="D12" s="8" t="s">
        <v>3</v>
      </c>
      <c r="E12" s="1"/>
    </row>
    <row r="13" spans="1:5" ht="15" customHeight="1" x14ac:dyDescent="0.25">
      <c r="A13" s="1"/>
      <c r="B13" s="32" t="s">
        <v>40</v>
      </c>
      <c r="C13" s="7">
        <f>-'Fane 12. Bortfald'!E18</f>
        <v>0</v>
      </c>
      <c r="D13" s="8" t="s">
        <v>3</v>
      </c>
      <c r="E13" s="1"/>
    </row>
    <row r="14" spans="1:5" ht="15" customHeight="1" x14ac:dyDescent="0.25">
      <c r="A14" s="1"/>
      <c r="B14" s="36" t="s">
        <v>26</v>
      </c>
      <c r="C14" s="9">
        <f>(C9-SUM(C10:C11))*'Fane 14. Nøgletal'!C11+SUM(C10:C13)*'Fane 14. Nøgletal'!C12</f>
        <v>151870.10732801349</v>
      </c>
      <c r="D14" s="8" t="s">
        <v>3</v>
      </c>
      <c r="E14" s="1"/>
    </row>
    <row r="15" spans="1:5" ht="15" customHeight="1" x14ac:dyDescent="0.25">
      <c r="A15" s="1"/>
      <c r="B15" s="36" t="s">
        <v>10</v>
      </c>
      <c r="C15" s="9">
        <f>-SUM(C9,C12:C14)*'Fane 5. Individuelt eff. krav'!G10</f>
        <v>0</v>
      </c>
      <c r="D15" s="8" t="s">
        <v>3</v>
      </c>
      <c r="E15" s="1"/>
    </row>
    <row r="16" spans="1:5" ht="15" customHeight="1" x14ac:dyDescent="0.25">
      <c r="A16" s="1"/>
      <c r="B16" s="36" t="s">
        <v>38</v>
      </c>
      <c r="C16" s="9">
        <f>-'Fane 4.1. Gen. krav - drift'!G33</f>
        <v>-71714.818824753194</v>
      </c>
      <c r="D16" s="8" t="s">
        <v>3</v>
      </c>
      <c r="E16" s="1"/>
    </row>
    <row r="17" spans="1:5" ht="15" customHeight="1" x14ac:dyDescent="0.25">
      <c r="A17" s="1"/>
      <c r="B17" s="36" t="s">
        <v>39</v>
      </c>
      <c r="C17" s="9">
        <f>-'Fane 4.2. Gen. krav - anlæg'!G32</f>
        <v>-49528.491890012534</v>
      </c>
      <c r="D17" s="8" t="s">
        <v>3</v>
      </c>
      <c r="E17" s="1"/>
    </row>
    <row r="18" spans="1:5" ht="15" customHeight="1" x14ac:dyDescent="0.25">
      <c r="A18" s="1"/>
      <c r="B18" s="37" t="s">
        <v>28</v>
      </c>
      <c r="C18" s="10">
        <f>SUM(C9,C12:C17)</f>
        <v>9013230.5714499373</v>
      </c>
      <c r="D18" s="11" t="s">
        <v>3</v>
      </c>
      <c r="E18" s="1"/>
    </row>
    <row r="19" spans="1:5" x14ac:dyDescent="0.25">
      <c r="A19" s="1"/>
      <c r="B19" s="44" t="s">
        <v>17</v>
      </c>
      <c r="C19" s="45"/>
      <c r="D19" s="22"/>
      <c r="E19" s="1"/>
    </row>
    <row r="20" spans="1:5" ht="15" customHeight="1" x14ac:dyDescent="0.25">
      <c r="A20" s="1"/>
      <c r="B20" s="38" t="s">
        <v>17</v>
      </c>
      <c r="C20" s="10">
        <f>'Fane 6. Ikke-påvirkelige omk.'!C14*(1+'Fane 14. Nøgletal'!C12)</f>
        <v>6460425.5087686256</v>
      </c>
      <c r="D20" s="11" t="s">
        <v>3</v>
      </c>
      <c r="E20" s="1"/>
    </row>
    <row r="21" spans="1:5" ht="15" customHeight="1" x14ac:dyDescent="0.25">
      <c r="A21" s="1"/>
      <c r="B21" s="44" t="s">
        <v>142</v>
      </c>
      <c r="C21" s="45"/>
      <c r="D21" s="22"/>
      <c r="E21" s="1"/>
    </row>
    <row r="22" spans="1:5" ht="15" customHeight="1" x14ac:dyDescent="0.25">
      <c r="A22" s="1"/>
      <c r="B22" s="32" t="s">
        <v>138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32" t="s">
        <v>139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143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4" t="s">
        <v>160</v>
      </c>
      <c r="C25" s="45"/>
      <c r="D25" s="22"/>
      <c r="E25" s="1"/>
    </row>
    <row r="26" spans="1:5" ht="15" customHeight="1" x14ac:dyDescent="0.25">
      <c r="A26" s="1"/>
      <c r="B26" s="37" t="s">
        <v>186</v>
      </c>
      <c r="C26" s="10">
        <f>'Fane 2.1. Økonomisk ramme 2020'!C30</f>
        <v>0</v>
      </c>
      <c r="D26" s="11" t="s">
        <v>3</v>
      </c>
      <c r="E26" s="1"/>
    </row>
    <row r="27" spans="1:5" x14ac:dyDescent="0.25">
      <c r="A27" s="1"/>
      <c r="B27" s="44" t="s">
        <v>44</v>
      </c>
      <c r="C27" s="12">
        <f>SUM(C18,C20,C24,C26)</f>
        <v>15473656.080218563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MtDSyqYSoB92GDZymAvlAj8BoLxy8X7FOYXgV0QAuI989YsgLelo5Hth7npGpzSR6En/u0zrgXzmdn2dpMNrw==" saltValue="9VoQCSDEa/sPeujhTopM3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196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37</v>
      </c>
      <c r="C8" s="7">
        <f>'Fane 2.2. Økonomisk ramme 2021'!C18</f>
        <v>9013230.5714499373</v>
      </c>
      <c r="D8" s="8" t="s">
        <v>3</v>
      </c>
      <c r="E8" s="1"/>
    </row>
    <row r="9" spans="1:5" ht="15" customHeight="1" x14ac:dyDescent="0.25">
      <c r="A9" s="1"/>
      <c r="B9" s="47" t="s">
        <v>194</v>
      </c>
      <c r="C9" s="7">
        <f>'Fane 2.2. Økonomisk ramme 2021'!C10*(1-'Fane 14. Nøgletal'!C25-'Fane 5. Individuelt eff. krav'!G10)*(1+'Fane 14. Nøgletal'!C12)</f>
        <v>0</v>
      </c>
      <c r="D9" s="8" t="s">
        <v>3</v>
      </c>
      <c r="E9" s="1"/>
    </row>
    <row r="10" spans="1:5" ht="15" customHeight="1" x14ac:dyDescent="0.25">
      <c r="A10" s="1"/>
      <c r="B10" s="47" t="s">
        <v>195</v>
      </c>
      <c r="C10" s="7">
        <f>'Fane 2.2. Økonomisk ramme 2021'!C11*(1-'Fane 14. Nøgletal'!C20-'Fane 5. Individuelt eff. krav'!G10)*(1+'Fane 14. Nøgletal'!C12)</f>
        <v>22682.131388973823</v>
      </c>
      <c r="D10" s="8" t="s">
        <v>3</v>
      </c>
      <c r="E10" s="1"/>
    </row>
    <row r="11" spans="1:5" ht="15" customHeight="1" x14ac:dyDescent="0.25">
      <c r="A11" s="1"/>
      <c r="B11" s="43" t="s">
        <v>41</v>
      </c>
      <c r="C11" s="7">
        <f>-'Fane 12. Bortfald'!C24</f>
        <v>0</v>
      </c>
      <c r="D11" s="8" t="s">
        <v>3</v>
      </c>
      <c r="E11" s="1"/>
    </row>
    <row r="12" spans="1:5" ht="15" customHeight="1" x14ac:dyDescent="0.25">
      <c r="A12" s="1"/>
      <c r="B12" s="43" t="s">
        <v>40</v>
      </c>
      <c r="C12" s="7">
        <f>-'Fane 12. Bortfald'!E24</f>
        <v>0</v>
      </c>
      <c r="D12" s="8" t="s">
        <v>3</v>
      </c>
      <c r="E12" s="1"/>
    </row>
    <row r="13" spans="1:5" ht="15" customHeight="1" x14ac:dyDescent="0.25">
      <c r="A13" s="1"/>
      <c r="B13" s="36" t="s">
        <v>26</v>
      </c>
      <c r="C13" s="9">
        <f>(C8-SUM(C9:C10))*'Fane 14. Nøgletal'!C11+SUM(C9:C12)*'Fane 14. Nøgletal'!C12</f>
        <v>152387.10662539306</v>
      </c>
      <c r="D13" s="8" t="s">
        <v>3</v>
      </c>
      <c r="E13" s="1"/>
    </row>
    <row r="14" spans="1:5" ht="15" customHeight="1" x14ac:dyDescent="0.25">
      <c r="A14" s="1"/>
      <c r="B14" s="36" t="s">
        <v>10</v>
      </c>
      <c r="C14" s="9">
        <f>-SUM(C8,C11:C13)*'Fane 5. Individuelt eff. krav'!G10</f>
        <v>0</v>
      </c>
      <c r="D14" s="8" t="s">
        <v>3</v>
      </c>
      <c r="E14" s="1"/>
    </row>
    <row r="15" spans="1:5" ht="15" customHeight="1" x14ac:dyDescent="0.25">
      <c r="A15" s="1"/>
      <c r="B15" s="36" t="s">
        <v>38</v>
      </c>
      <c r="C15" s="9">
        <f>-'Fane 4.1. Gen. krav - drift'!G41</f>
        <v>-71468.263277633683</v>
      </c>
      <c r="D15" s="8" t="s">
        <v>3</v>
      </c>
      <c r="E15" s="1"/>
    </row>
    <row r="16" spans="1:5" ht="15" customHeight="1" x14ac:dyDescent="0.25">
      <c r="A16" s="1"/>
      <c r="B16" s="36" t="s">
        <v>39</v>
      </c>
      <c r="C16" s="9">
        <f>-'Fane 4.2. Gen. krav - anlæg'!G40</f>
        <v>-49915.865164146264</v>
      </c>
      <c r="D16" s="8" t="s">
        <v>3</v>
      </c>
      <c r="E16" s="1"/>
    </row>
    <row r="17" spans="1:5" x14ac:dyDescent="0.25">
      <c r="A17" s="1"/>
      <c r="B17" s="37" t="s">
        <v>28</v>
      </c>
      <c r="C17" s="10">
        <f>SUM(C8,C11:C16)</f>
        <v>9044233.5496335514</v>
      </c>
      <c r="D17" s="11" t="s">
        <v>3</v>
      </c>
      <c r="E17" s="1"/>
    </row>
    <row r="18" spans="1:5" x14ac:dyDescent="0.25">
      <c r="A18" s="1"/>
      <c r="B18" s="44" t="s">
        <v>17</v>
      </c>
      <c r="C18" s="45"/>
      <c r="D18" s="22"/>
      <c r="E18" s="1"/>
    </row>
    <row r="19" spans="1:5" ht="15" customHeight="1" x14ac:dyDescent="0.25">
      <c r="A19" s="1"/>
      <c r="B19" s="38" t="s">
        <v>17</v>
      </c>
      <c r="C19" s="10">
        <f>'Fane 6. Ikke-påvirkelige omk.'!C14*(1+'Fane 14. Nøgletal'!C12)^2</f>
        <v>6587695.8912913678</v>
      </c>
      <c r="D19" s="11" t="s">
        <v>3</v>
      </c>
      <c r="E19" s="1"/>
    </row>
    <row r="20" spans="1:5" ht="15" customHeight="1" x14ac:dyDescent="0.25">
      <c r="A20" s="1"/>
      <c r="B20" s="44" t="s">
        <v>142</v>
      </c>
      <c r="C20" s="45"/>
      <c r="D20" s="22"/>
      <c r="E20" s="1"/>
    </row>
    <row r="21" spans="1:5" ht="15" customHeight="1" x14ac:dyDescent="0.25">
      <c r="A21" s="1"/>
      <c r="B21" s="32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32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143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4" t="s">
        <v>160</v>
      </c>
      <c r="C24" s="45"/>
      <c r="D24" s="22"/>
      <c r="E24" s="1"/>
    </row>
    <row r="25" spans="1:5" ht="15" customHeight="1" x14ac:dyDescent="0.25">
      <c r="A25" s="1"/>
      <c r="B25" s="37" t="s">
        <v>186</v>
      </c>
      <c r="C25" s="10">
        <f>'Fane 2.2. Økonomisk ramme 2021'!C26</f>
        <v>0</v>
      </c>
      <c r="D25" s="11" t="s">
        <v>3</v>
      </c>
      <c r="E25" s="1"/>
    </row>
    <row r="26" spans="1:5" x14ac:dyDescent="0.25">
      <c r="A26" s="1"/>
      <c r="B26" s="44" t="s">
        <v>45</v>
      </c>
      <c r="C26" s="12">
        <f>SUM(C17,C19,C23,C25)</f>
        <v>15631929.44092492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oIyh6B0QIRhCPRBsIukfGMVlvQMhrRFzjmekEVSOjFBgyXT73LQ8E6qqpWBaNPNVsw7A7LRcmHl4UdfJ/Pufw==" saltValue="QK0vHlpnC9okki53jVdo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29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248</v>
      </c>
      <c r="C8" s="7">
        <f>'Fane 2.3. Økonomisk ramme 2022'!C17</f>
        <v>9044233.5496335514</v>
      </c>
      <c r="D8" s="8" t="s">
        <v>3</v>
      </c>
      <c r="E8" s="1"/>
    </row>
    <row r="9" spans="1:5" ht="15" customHeight="1" x14ac:dyDescent="0.25">
      <c r="A9" s="1"/>
      <c r="B9" s="43" t="s">
        <v>41</v>
      </c>
      <c r="C9" s="7">
        <f>-'Fane 12. Bortfald'!C30</f>
        <v>0</v>
      </c>
      <c r="D9" s="8" t="s">
        <v>3</v>
      </c>
      <c r="E9" s="1"/>
    </row>
    <row r="10" spans="1:5" ht="15" customHeight="1" x14ac:dyDescent="0.25">
      <c r="A10" s="1"/>
      <c r="B10" s="43" t="s">
        <v>40</v>
      </c>
      <c r="C10" s="7">
        <f>-'Fane 12.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26</v>
      </c>
      <c r="C11" s="9">
        <f>C8*'Fane 14. Nøgletal'!C12</f>
        <v>178171.40092778095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38</v>
      </c>
      <c r="C13" s="9">
        <f>-'Fane 4.1. Gen. krav - drift'!G47</f>
        <v>-71418.664302919016</v>
      </c>
      <c r="D13" s="8" t="s">
        <v>3</v>
      </c>
      <c r="E13" s="1"/>
    </row>
    <row r="14" spans="1:5" ht="15" customHeight="1" x14ac:dyDescent="0.25">
      <c r="A14" s="1"/>
      <c r="B14" s="36" t="s">
        <v>39</v>
      </c>
      <c r="C14" s="9">
        <f>-'Fane 4.2. Gen. krav - anlæg'!G46</f>
        <v>-163191.51781828588</v>
      </c>
      <c r="D14" s="8" t="s">
        <v>3</v>
      </c>
      <c r="E14" s="1"/>
    </row>
    <row r="15" spans="1:5" x14ac:dyDescent="0.25">
      <c r="A15" s="1"/>
      <c r="B15" s="37" t="s">
        <v>28</v>
      </c>
      <c r="C15" s="10">
        <f>SUM(C8:C14)</f>
        <v>8987794.7684401274</v>
      </c>
      <c r="D15" s="11" t="s">
        <v>3</v>
      </c>
      <c r="E15" s="1"/>
    </row>
    <row r="16" spans="1:5" x14ac:dyDescent="0.25">
      <c r="A16" s="1"/>
      <c r="B16" s="44" t="s">
        <v>17</v>
      </c>
      <c r="C16" s="45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omk.'!C14*(1+'Fane 14. Nøgletal'!C12)^3</f>
        <v>6717473.5003498076</v>
      </c>
      <c r="D17" s="11" t="s">
        <v>3</v>
      </c>
      <c r="E17" s="1"/>
    </row>
    <row r="18" spans="1:5" ht="15" customHeight="1" x14ac:dyDescent="0.25">
      <c r="A18" s="1"/>
      <c r="B18" s="44" t="s">
        <v>142</v>
      </c>
      <c r="C18" s="45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160</v>
      </c>
      <c r="C22" s="45"/>
      <c r="D22" s="22"/>
      <c r="E22" s="1"/>
    </row>
    <row r="23" spans="1:5" ht="15" customHeight="1" x14ac:dyDescent="0.25">
      <c r="A23" s="1"/>
      <c r="B23" s="37" t="s">
        <v>188</v>
      </c>
      <c r="C23" s="10">
        <f>'Fane 7. Kontrol af ØR2018'!E39</f>
        <v>0</v>
      </c>
      <c r="D23" s="11" t="s">
        <v>3</v>
      </c>
      <c r="E23" s="1"/>
    </row>
    <row r="24" spans="1:5" x14ac:dyDescent="0.25">
      <c r="A24" s="1"/>
      <c r="B24" s="44" t="s">
        <v>154</v>
      </c>
      <c r="C24" s="12">
        <f>SUM(C15,C17,C21,C23)</f>
        <v>15705268.268789936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sagvRTDPxMOn93of3GtJsR5oE8buptzKARh3SrYbF3la958Lv3o7DBzAjca/qW1vAa5RARlYqzaAOTQlEsW8g==" saltValue="N9jkhLgX4qi0vdIvJWie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224</v>
      </c>
      <c r="C3" s="81"/>
      <c r="D3" s="81"/>
      <c r="E3" s="81"/>
      <c r="F3" s="81"/>
      <c r="G3" s="1"/>
    </row>
    <row r="4" spans="1:7" ht="29.2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84</v>
      </c>
      <c r="C8" s="45"/>
      <c r="D8" s="45"/>
      <c r="E8" s="45"/>
      <c r="F8" s="22"/>
      <c r="G8" s="1"/>
    </row>
    <row r="9" spans="1:7" x14ac:dyDescent="0.25">
      <c r="A9" s="1"/>
      <c r="B9" s="82" t="s">
        <v>81</v>
      </c>
      <c r="C9" s="83"/>
      <c r="D9" s="84"/>
      <c r="E9" s="7">
        <v>8784476.4604619667</v>
      </c>
      <c r="F9" s="8" t="s">
        <v>3</v>
      </c>
      <c r="G9" s="1"/>
    </row>
    <row r="10" spans="1:7" x14ac:dyDescent="0.25">
      <c r="A10" s="1"/>
      <c r="B10" s="82" t="s">
        <v>82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82" t="s">
        <v>83</v>
      </c>
      <c r="C11" s="83"/>
      <c r="D11" s="84"/>
      <c r="E11" s="7">
        <v>87464.007995296794</v>
      </c>
      <c r="F11" s="8" t="s">
        <v>3</v>
      </c>
      <c r="G11" s="1"/>
    </row>
    <row r="12" spans="1:7" x14ac:dyDescent="0.25">
      <c r="A12" s="1"/>
      <c r="B12" s="73" t="s">
        <v>67</v>
      </c>
      <c r="C12" s="74"/>
      <c r="D12" s="75"/>
      <c r="E12" s="7">
        <v>0</v>
      </c>
      <c r="F12" s="8" t="s">
        <v>3</v>
      </c>
      <c r="G12" s="1"/>
    </row>
    <row r="13" spans="1:7" x14ac:dyDescent="0.25">
      <c r="A13" s="1"/>
      <c r="B13" s="73" t="s">
        <v>68</v>
      </c>
      <c r="C13" s="74"/>
      <c r="D13" s="75"/>
      <c r="E13" s="9">
        <v>27205.125699999997</v>
      </c>
      <c r="F13" s="8" t="s">
        <v>3</v>
      </c>
      <c r="G13" s="1"/>
    </row>
    <row r="14" spans="1:7" x14ac:dyDescent="0.25">
      <c r="A14" s="1"/>
      <c r="B14" s="73" t="s">
        <v>41</v>
      </c>
      <c r="C14" s="74"/>
      <c r="D14" s="75"/>
      <c r="E14" s="9">
        <v>0</v>
      </c>
      <c r="F14" s="8" t="s">
        <v>3</v>
      </c>
      <c r="G14" s="1"/>
    </row>
    <row r="15" spans="1:7" x14ac:dyDescent="0.25">
      <c r="A15" s="1"/>
      <c r="B15" s="73" t="s">
        <v>40</v>
      </c>
      <c r="C15" s="74"/>
      <c r="D15" s="75"/>
      <c r="E15" s="9">
        <v>0</v>
      </c>
      <c r="F15" s="8" t="s">
        <v>3</v>
      </c>
      <c r="G15" s="1"/>
    </row>
    <row r="16" spans="1:7" x14ac:dyDescent="0.25">
      <c r="A16" s="1"/>
      <c r="B16" s="73" t="s">
        <v>43</v>
      </c>
      <c r="C16" s="74"/>
      <c r="D16" s="75"/>
      <c r="E16" s="9">
        <v>0</v>
      </c>
      <c r="F16" s="8" t="s">
        <v>3</v>
      </c>
      <c r="G16" s="1"/>
    </row>
    <row r="17" spans="1:7" x14ac:dyDescent="0.25">
      <c r="A17" s="1"/>
      <c r="B17" s="73" t="s">
        <v>42</v>
      </c>
      <c r="C17" s="74"/>
      <c r="D17" s="75"/>
      <c r="E17" s="9">
        <v>0</v>
      </c>
      <c r="F17" s="8" t="s">
        <v>3</v>
      </c>
      <c r="G17" s="1"/>
    </row>
    <row r="18" spans="1:7" x14ac:dyDescent="0.25">
      <c r="A18" s="1"/>
      <c r="B18" s="73" t="s">
        <v>26</v>
      </c>
      <c r="C18" s="74"/>
      <c r="D18" s="75"/>
      <c r="E18" s="9">
        <f>SUM(E9:E17)*'Fane 14. Nøgletal'!C11</f>
        <v>150395.56054125773</v>
      </c>
      <c r="F18" s="8" t="s">
        <v>3</v>
      </c>
      <c r="G18" s="1"/>
    </row>
    <row r="19" spans="1:7" x14ac:dyDescent="0.25">
      <c r="A19" s="1"/>
      <c r="B19" s="73" t="s">
        <v>10</v>
      </c>
      <c r="C19" s="74"/>
      <c r="D19" s="75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3" t="s">
        <v>38</v>
      </c>
      <c r="C20" s="74"/>
      <c r="D20" s="75"/>
      <c r="E20" s="9">
        <f>-'Fane 4.1. Gen. krav - drift'!G20</f>
        <v>-72210.48460020106</v>
      </c>
      <c r="F20" s="8" t="s">
        <v>3</v>
      </c>
      <c r="G20" s="1"/>
    </row>
    <row r="21" spans="1:7" x14ac:dyDescent="0.25">
      <c r="A21" s="1"/>
      <c r="B21" s="73" t="s">
        <v>39</v>
      </c>
      <c r="C21" s="74"/>
      <c r="D21" s="75"/>
      <c r="E21" s="9">
        <f>-'Fane 4.2. Gen. krav - anlæg'!G19</f>
        <v>-48087.871225158146</v>
      </c>
      <c r="F21" s="8" t="s">
        <v>3</v>
      </c>
      <c r="G21" s="1"/>
    </row>
    <row r="22" spans="1:7" x14ac:dyDescent="0.25">
      <c r="A22" s="1"/>
      <c r="B22" s="88" t="s">
        <v>28</v>
      </c>
      <c r="C22" s="89"/>
      <c r="D22" s="90"/>
      <c r="E22" s="10">
        <f>SUM(E9:E21)</f>
        <v>8929242.7988731619</v>
      </c>
      <c r="F22" s="11" t="s">
        <v>3</v>
      </c>
      <c r="G22" s="1"/>
    </row>
    <row r="23" spans="1:7" x14ac:dyDescent="0.25">
      <c r="A23" s="1"/>
      <c r="B23" s="76" t="s">
        <v>17</v>
      </c>
      <c r="C23" s="77"/>
      <c r="D23" s="77"/>
      <c r="E23" s="45"/>
      <c r="F23" s="22"/>
      <c r="G23" s="1"/>
    </row>
    <row r="24" spans="1:7" x14ac:dyDescent="0.25">
      <c r="A24" s="1"/>
      <c r="B24" s="78" t="s">
        <v>17</v>
      </c>
      <c r="C24" s="79"/>
      <c r="D24" s="80"/>
      <c r="E24" s="10">
        <v>6026080.1198232789</v>
      </c>
      <c r="F24" s="11" t="s">
        <v>3</v>
      </c>
      <c r="G24" s="1"/>
    </row>
    <row r="25" spans="1:7" x14ac:dyDescent="0.25">
      <c r="A25" s="1"/>
      <c r="B25" s="44" t="s">
        <v>131</v>
      </c>
      <c r="C25" s="45"/>
      <c r="D25" s="45"/>
      <c r="E25" s="45"/>
      <c r="F25" s="22"/>
      <c r="G25" s="1"/>
    </row>
    <row r="26" spans="1:7" ht="27" customHeight="1" x14ac:dyDescent="0.25">
      <c r="A26" s="1"/>
      <c r="B26" s="91" t="s">
        <v>133</v>
      </c>
      <c r="C26" s="92"/>
      <c r="D26" s="93"/>
      <c r="E26" s="10">
        <v>30445.8493720931</v>
      </c>
      <c r="F26" s="11" t="s">
        <v>3</v>
      </c>
      <c r="G26" s="1"/>
    </row>
    <row r="27" spans="1:7" x14ac:dyDescent="0.25">
      <c r="A27" s="1"/>
      <c r="B27" s="44" t="s">
        <v>11</v>
      </c>
      <c r="C27" s="45"/>
      <c r="D27" s="45"/>
      <c r="E27" s="45"/>
      <c r="F27" s="22"/>
      <c r="G27" s="1"/>
    </row>
    <row r="28" spans="1:7" x14ac:dyDescent="0.25">
      <c r="A28" s="1"/>
      <c r="B28" s="78" t="s">
        <v>19</v>
      </c>
      <c r="C28" s="79"/>
      <c r="D28" s="80"/>
      <c r="E28" s="10">
        <v>0</v>
      </c>
      <c r="F28" s="11" t="s">
        <v>3</v>
      </c>
      <c r="G28" s="1"/>
    </row>
    <row r="29" spans="1:7" x14ac:dyDescent="0.25">
      <c r="A29" s="1"/>
      <c r="B29" s="44" t="s">
        <v>160</v>
      </c>
      <c r="C29" s="45"/>
      <c r="D29" s="45"/>
      <c r="E29" s="45"/>
      <c r="F29" s="22"/>
      <c r="G29" s="1"/>
    </row>
    <row r="30" spans="1:7" x14ac:dyDescent="0.25">
      <c r="A30" s="1"/>
      <c r="B30" s="78" t="s">
        <v>132</v>
      </c>
      <c r="C30" s="79"/>
      <c r="D30" s="80"/>
      <c r="E30" s="10">
        <v>0</v>
      </c>
      <c r="F30" s="11" t="s">
        <v>3</v>
      </c>
      <c r="G30" s="1"/>
    </row>
    <row r="31" spans="1:7" x14ac:dyDescent="0.25">
      <c r="A31" s="1"/>
      <c r="B31" s="44" t="s">
        <v>23</v>
      </c>
      <c r="C31" s="45"/>
      <c r="D31" s="45"/>
      <c r="E31" s="12">
        <f>SUM(E28,E26,E24,E22,E30)</f>
        <v>14985768.768068533</v>
      </c>
      <c r="F31" s="13" t="s">
        <v>3</v>
      </c>
      <c r="G31" s="1"/>
    </row>
    <row r="32" spans="1:7" ht="28.15" customHeight="1" x14ac:dyDescent="0.25">
      <c r="A32" s="1"/>
      <c r="B32" s="85" t="s">
        <v>187</v>
      </c>
      <c r="C32" s="86"/>
      <c r="D32" s="86"/>
      <c r="E32" s="86"/>
      <c r="F32" s="8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vEArmPERcmjObQgiO8oBIGc45jc5jmgbj6TFlRwq5dv5A2+3JddWsv8U5esD7u+A/cAS4WDa/zyy+Y8bpGixA==" saltValue="e25nH95PVsS20IAmYQa+/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1" t="s">
        <v>198</v>
      </c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94" t="s">
        <v>97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86</v>
      </c>
      <c r="C6" s="98"/>
      <c r="D6" s="98"/>
      <c r="E6" s="98"/>
      <c r="F6" s="99"/>
      <c r="G6" s="26">
        <v>3650556.3379485239</v>
      </c>
      <c r="H6" s="14" t="s">
        <v>3</v>
      </c>
      <c r="I6" s="1"/>
    </row>
    <row r="7" spans="1:9" x14ac:dyDescent="0.25">
      <c r="A7" s="1"/>
      <c r="B7" s="97" t="s">
        <v>87</v>
      </c>
      <c r="C7" s="98"/>
      <c r="D7" s="98"/>
      <c r="E7" s="98"/>
      <c r="F7" s="99"/>
      <c r="G7" s="26">
        <f>G6*'Fane 14. Nøgletal'!C25</f>
        <v>73011.12675897048</v>
      </c>
      <c r="H7" s="14" t="s">
        <v>3</v>
      </c>
      <c r="I7" s="1"/>
    </row>
    <row r="8" spans="1:9" x14ac:dyDescent="0.25">
      <c r="A8" s="1"/>
      <c r="B8" s="44"/>
      <c r="C8" s="45"/>
      <c r="D8" s="45"/>
      <c r="E8" s="45"/>
      <c r="F8" s="45"/>
      <c r="G8" s="45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98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88</v>
      </c>
      <c r="C11" s="98"/>
      <c r="D11" s="98"/>
      <c r="E11" s="98"/>
      <c r="F11" s="99"/>
      <c r="G11" s="26">
        <f>(G6-G7)*(1+'Fane 14. Nøgletal'!C9)</f>
        <v>3622980.0353716607</v>
      </c>
      <c r="H11" s="14" t="s">
        <v>3</v>
      </c>
      <c r="I11" s="1"/>
    </row>
    <row r="12" spans="1:9" x14ac:dyDescent="0.25">
      <c r="A12" s="1"/>
      <c r="B12" s="100" t="s">
        <v>89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90</v>
      </c>
      <c r="C13" s="98"/>
      <c r="D13" s="98"/>
      <c r="E13" s="98"/>
      <c r="F13" s="99"/>
      <c r="G13" s="26">
        <f>(G11+G12)*'Fane 14. Nøgletal'!C25</f>
        <v>72459.600707433216</v>
      </c>
      <c r="H13" s="14" t="s">
        <v>3</v>
      </c>
      <c r="I13" s="1"/>
    </row>
    <row r="14" spans="1:9" x14ac:dyDescent="0.25">
      <c r="A14" s="1"/>
      <c r="B14" s="44"/>
      <c r="C14" s="45"/>
      <c r="D14" s="45"/>
      <c r="E14" s="45"/>
      <c r="F14" s="45"/>
      <c r="G14" s="45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99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91</v>
      </c>
      <c r="C17" s="98"/>
      <c r="D17" s="98"/>
      <c r="E17" s="98"/>
      <c r="F17" s="99"/>
      <c r="G17" s="26">
        <f>(G11+G12-G13)*(1+'Fane 14. Nøgletal'!C11)</f>
        <v>3610524.2300100527</v>
      </c>
      <c r="H17" s="14" t="s">
        <v>3</v>
      </c>
      <c r="I17" s="1"/>
    </row>
    <row r="18" spans="1:9" x14ac:dyDescent="0.25">
      <c r="A18" s="1"/>
      <c r="B18" s="97" t="s">
        <v>225</v>
      </c>
      <c r="C18" s="98"/>
      <c r="D18" s="98"/>
      <c r="E18" s="98"/>
      <c r="F18" s="99"/>
      <c r="G18" s="26">
        <v>0</v>
      </c>
      <c r="H18" s="14" t="s">
        <v>3</v>
      </c>
      <c r="I18" s="1"/>
    </row>
    <row r="19" spans="1:9" x14ac:dyDescent="0.25">
      <c r="A19" s="1"/>
      <c r="B19" s="100" t="s">
        <v>92</v>
      </c>
      <c r="C19" s="101"/>
      <c r="D19" s="101"/>
      <c r="E19" s="101"/>
      <c r="F19" s="102"/>
      <c r="G19" s="26">
        <v>0</v>
      </c>
      <c r="H19" s="14" t="s">
        <v>3</v>
      </c>
      <c r="I19" s="1"/>
    </row>
    <row r="20" spans="1:9" x14ac:dyDescent="0.25">
      <c r="A20" s="1"/>
      <c r="B20" s="97" t="s">
        <v>93</v>
      </c>
      <c r="C20" s="98"/>
      <c r="D20" s="98"/>
      <c r="E20" s="98"/>
      <c r="F20" s="99"/>
      <c r="G20" s="26">
        <f>SUM(G17:G19)*'Fane 14. Nøgletal'!C25</f>
        <v>72210.48460020106</v>
      </c>
      <c r="H20" s="14" t="s">
        <v>3</v>
      </c>
      <c r="I20" s="1"/>
    </row>
    <row r="21" spans="1:9" x14ac:dyDescent="0.25">
      <c r="A21" s="1"/>
      <c r="B21" s="44"/>
      <c r="C21" s="45"/>
      <c r="D21" s="45"/>
      <c r="E21" s="45"/>
      <c r="F21" s="45"/>
      <c r="G21" s="45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4" t="s">
        <v>100</v>
      </c>
      <c r="C23" s="95"/>
      <c r="D23" s="95"/>
      <c r="E23" s="95"/>
      <c r="F23" s="95"/>
      <c r="G23" s="95"/>
      <c r="H23" s="96"/>
      <c r="I23" s="1"/>
    </row>
    <row r="24" spans="1:9" x14ac:dyDescent="0.25">
      <c r="A24" s="1"/>
      <c r="B24" s="97" t="s">
        <v>94</v>
      </c>
      <c r="C24" s="98"/>
      <c r="D24" s="98"/>
      <c r="E24" s="98"/>
      <c r="F24" s="99"/>
      <c r="G24" s="26">
        <f>(G17+G18+G19-G20)*(1+'Fane 14. Nøgletal'!C11)</f>
        <v>3598111.2477072775</v>
      </c>
      <c r="H24" s="14" t="s">
        <v>3</v>
      </c>
      <c r="I24" s="1"/>
    </row>
    <row r="25" spans="1:9" x14ac:dyDescent="0.25">
      <c r="A25" s="1"/>
      <c r="B25" s="100" t="s">
        <v>95</v>
      </c>
      <c r="C25" s="101"/>
      <c r="D25" s="101"/>
      <c r="E25" s="101"/>
      <c r="F25" s="102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7" t="s">
        <v>96</v>
      </c>
      <c r="C26" s="98"/>
      <c r="D26" s="98"/>
      <c r="E26" s="98"/>
      <c r="F26" s="99"/>
      <c r="G26" s="26">
        <f>(G24+G25)*'Fane 14. Nøgletal'!C25</f>
        <v>71962.224954145553</v>
      </c>
      <c r="H26" s="14" t="s">
        <v>3</v>
      </c>
      <c r="I26" s="1"/>
    </row>
    <row r="27" spans="1:9" x14ac:dyDescent="0.25">
      <c r="A27" s="1"/>
      <c r="B27" s="44"/>
      <c r="C27" s="45"/>
      <c r="D27" s="45"/>
      <c r="E27" s="45"/>
      <c r="F27" s="45"/>
      <c r="G27" s="45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4" t="s">
        <v>103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97" t="s">
        <v>104</v>
      </c>
      <c r="C30" s="98"/>
      <c r="D30" s="98"/>
      <c r="E30" s="98"/>
      <c r="F30" s="99"/>
      <c r="G30" s="26">
        <f>G24*(1-'Fane 14. Nøgletal'!C25)*(1+'Fane 14. Nøgletal'!C11)+G25*(1-'Fane 14. Nøgletal'!C25)*(1+'Fane 14. Nøgletal'!C12)</f>
        <v>3585740.9412376597</v>
      </c>
      <c r="H30" s="14" t="s">
        <v>3</v>
      </c>
      <c r="I30" s="1"/>
    </row>
    <row r="31" spans="1:9" x14ac:dyDescent="0.25">
      <c r="A31" s="1"/>
      <c r="B31" s="103" t="s">
        <v>218</v>
      </c>
      <c r="C31" s="104"/>
      <c r="D31" s="104"/>
      <c r="E31" s="104"/>
      <c r="F31" s="105"/>
      <c r="G31" s="26">
        <f>G25*(1-'Fane 14. Nøgletal'!C25)*(1+'Fane 14. Nøgletal'!C12)</f>
        <v>0</v>
      </c>
      <c r="H31" s="14" t="s">
        <v>3</v>
      </c>
      <c r="I31" s="1"/>
    </row>
    <row r="32" spans="1:9" x14ac:dyDescent="0.25">
      <c r="A32" s="1"/>
      <c r="B32" s="97" t="s">
        <v>145</v>
      </c>
      <c r="C32" s="98"/>
      <c r="D32" s="98"/>
      <c r="E32" s="98"/>
      <c r="F32" s="99"/>
      <c r="G32" s="26">
        <f>-'Fane 12. Bortfald'!C18*(1+'Fane 14. Nøgletal'!C12)</f>
        <v>0</v>
      </c>
      <c r="H32" s="14" t="s">
        <v>3</v>
      </c>
      <c r="I32" s="1"/>
    </row>
    <row r="33" spans="1:9" x14ac:dyDescent="0.25">
      <c r="A33" s="1"/>
      <c r="B33" s="97" t="s">
        <v>105</v>
      </c>
      <c r="C33" s="98"/>
      <c r="D33" s="98"/>
      <c r="E33" s="98"/>
      <c r="F33" s="99"/>
      <c r="G33" s="26">
        <f>(G30+G32)*'Fane 14. Nøgletal'!C25</f>
        <v>71714.818824753194</v>
      </c>
      <c r="H33" s="14" t="s">
        <v>3</v>
      </c>
      <c r="I33" s="1"/>
    </row>
    <row r="34" spans="1:9" x14ac:dyDescent="0.25">
      <c r="A34" s="1"/>
      <c r="B34" s="44"/>
      <c r="C34" s="45"/>
      <c r="D34" s="45"/>
      <c r="E34" s="45"/>
      <c r="F34" s="45"/>
      <c r="G34" s="45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193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97" t="s">
        <v>128</v>
      </c>
      <c r="C37" s="98"/>
      <c r="D37" s="98"/>
      <c r="E37" s="98"/>
      <c r="F37" s="99"/>
      <c r="G37" s="26">
        <f>(G30-G31)*(1-'Fane 14. Nøgletal'!C25)*(1+'Fane 14. Nøgletal'!C11)+(G31+G32)*(1-'Fane 14. Nøgletal'!C25)*(1+'Fane 14. Nøgletal'!C12)</f>
        <v>3573413.1638816842</v>
      </c>
      <c r="H37" s="14" t="s">
        <v>3</v>
      </c>
      <c r="I37" s="1"/>
    </row>
    <row r="38" spans="1:9" x14ac:dyDescent="0.25">
      <c r="A38" s="1"/>
      <c r="B38" s="103" t="s">
        <v>218</v>
      </c>
      <c r="C38" s="104"/>
      <c r="D38" s="104"/>
      <c r="E38" s="104"/>
      <c r="F38" s="105"/>
      <c r="G38" s="26">
        <f>G31*(1-'Fane 14. Nøgletal'!C25)*(1+'Fane 14. Nøgletal'!C12)</f>
        <v>0</v>
      </c>
      <c r="H38" s="14" t="s">
        <v>3</v>
      </c>
      <c r="I38" s="1"/>
    </row>
    <row r="39" spans="1:9" x14ac:dyDescent="0.25">
      <c r="A39" s="1"/>
      <c r="B39" s="103" t="s">
        <v>219</v>
      </c>
      <c r="C39" s="98"/>
      <c r="D39" s="98"/>
      <c r="E39" s="98"/>
      <c r="F39" s="99"/>
      <c r="G39" s="26">
        <f>G32*(1-'Fane 14. Nøgletal'!C25)*(1+'Fane 14. Nøgletal'!C12)</f>
        <v>0</v>
      </c>
      <c r="H39" s="14" t="s">
        <v>3</v>
      </c>
      <c r="I39" s="1"/>
    </row>
    <row r="40" spans="1:9" x14ac:dyDescent="0.25">
      <c r="A40" s="1"/>
      <c r="B40" s="97" t="s">
        <v>146</v>
      </c>
      <c r="C40" s="98"/>
      <c r="D40" s="98"/>
      <c r="E40" s="98"/>
      <c r="F40" s="99"/>
      <c r="G40" s="26">
        <f>-'Fane 12. Bortfald'!C24*(1+'Fane 14. Nøgletal'!C12)</f>
        <v>0</v>
      </c>
      <c r="H40" s="14" t="s">
        <v>3</v>
      </c>
      <c r="I40" s="1"/>
    </row>
    <row r="41" spans="1:9" x14ac:dyDescent="0.25">
      <c r="A41" s="1"/>
      <c r="B41" s="97" t="s">
        <v>220</v>
      </c>
      <c r="C41" s="98"/>
      <c r="D41" s="98"/>
      <c r="E41" s="98"/>
      <c r="F41" s="99"/>
      <c r="G41" s="26">
        <f>(G37+G40)*'Fane 14. Nøgletal'!C25</f>
        <v>71468.263277633683</v>
      </c>
      <c r="H41" s="14" t="s">
        <v>3</v>
      </c>
      <c r="I41" s="1"/>
    </row>
    <row r="42" spans="1:9" x14ac:dyDescent="0.25">
      <c r="A42" s="1"/>
      <c r="B42" s="44"/>
      <c r="C42" s="45"/>
      <c r="D42" s="45"/>
      <c r="E42" s="45"/>
      <c r="F42" s="45"/>
      <c r="G42" s="45"/>
      <c r="H42" s="22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4" t="s">
        <v>129</v>
      </c>
      <c r="C44" s="95"/>
      <c r="D44" s="95"/>
      <c r="E44" s="95"/>
      <c r="F44" s="95"/>
      <c r="G44" s="95"/>
      <c r="H44" s="96"/>
      <c r="I44" s="1"/>
    </row>
    <row r="45" spans="1:9" x14ac:dyDescent="0.25">
      <c r="A45" s="1"/>
      <c r="B45" s="97" t="s">
        <v>127</v>
      </c>
      <c r="C45" s="98"/>
      <c r="D45" s="98"/>
      <c r="E45" s="98"/>
      <c r="F45" s="99"/>
      <c r="G45" s="26">
        <f>(G37-G41)*(1+'Fane 14. Nøgletal'!C12)</f>
        <v>3570933.2151459507</v>
      </c>
      <c r="H45" s="14" t="s">
        <v>3</v>
      </c>
      <c r="I45" s="1"/>
    </row>
    <row r="46" spans="1:9" x14ac:dyDescent="0.25">
      <c r="A46" s="1"/>
      <c r="B46" s="97" t="s">
        <v>147</v>
      </c>
      <c r="C46" s="98"/>
      <c r="D46" s="98"/>
      <c r="E46" s="98"/>
      <c r="F46" s="99"/>
      <c r="G46" s="26">
        <f>-'Fane 12. Bortfald'!C30*(1+'Fane 14. Nøgletal'!C12)</f>
        <v>0</v>
      </c>
      <c r="H46" s="14" t="s">
        <v>3</v>
      </c>
      <c r="I46" s="1"/>
    </row>
    <row r="47" spans="1:9" x14ac:dyDescent="0.25">
      <c r="A47" s="1"/>
      <c r="B47" s="97" t="s">
        <v>106</v>
      </c>
      <c r="C47" s="98"/>
      <c r="D47" s="98"/>
      <c r="E47" s="98"/>
      <c r="F47" s="99"/>
      <c r="G47" s="26">
        <f>(G45+G46)*'Fane 14. Nøgletal'!C25</f>
        <v>71418.664302919016</v>
      </c>
      <c r="H47" s="14" t="s">
        <v>3</v>
      </c>
      <c r="I47" s="1"/>
    </row>
    <row r="48" spans="1:9" x14ac:dyDescent="0.25">
      <c r="A48" s="1"/>
      <c r="B48" s="44"/>
      <c r="C48" s="45"/>
      <c r="D48" s="45"/>
      <c r="E48" s="45"/>
      <c r="F48" s="45"/>
      <c r="G48" s="45"/>
      <c r="H48" s="22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LLfKLnaqQEyDSjEOctKr/9B0pU24wH0MKGHPeSR4Yny4UfVMivLefvptGUtiJRctDQZ9p6Yl/bj2D5NM7CZXQ==" saltValue="jEpdDdehmbhayl8Rlb5ZNg==" spinCount="100000" sheet="1" objects="1" scenarios="1"/>
  <mergeCells count="32">
    <mergeCell ref="B2:H4"/>
    <mergeCell ref="B5:H5"/>
    <mergeCell ref="B6:F6"/>
    <mergeCell ref="B7:F7"/>
    <mergeCell ref="B11:F11"/>
    <mergeCell ref="B10:H10"/>
    <mergeCell ref="B44:H44"/>
    <mergeCell ref="B45:F45"/>
    <mergeCell ref="B47:F47"/>
    <mergeCell ref="B40:F40"/>
    <mergeCell ref="B46:F46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6:H36"/>
    <mergeCell ref="B41:F41"/>
    <mergeCell ref="B20:F20"/>
    <mergeCell ref="B24:F24"/>
    <mergeCell ref="B25:F25"/>
    <mergeCell ref="B26:F26"/>
    <mergeCell ref="B37:F37"/>
    <mergeCell ref="B32:F32"/>
    <mergeCell ref="B33:F33"/>
    <mergeCell ref="B31:F31"/>
    <mergeCell ref="B38:F38"/>
    <mergeCell ref="B39:F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6" t="s">
        <v>199</v>
      </c>
      <c r="C2" s="106"/>
      <c r="D2" s="106"/>
      <c r="E2" s="106"/>
      <c r="F2" s="106"/>
      <c r="G2" s="106"/>
      <c r="H2" s="106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4" t="s">
        <v>101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107</v>
      </c>
      <c r="C5" s="98"/>
      <c r="D5" s="98"/>
      <c r="E5" s="98"/>
      <c r="F5" s="99"/>
      <c r="G5" s="26">
        <v>5351031.5069074379</v>
      </c>
      <c r="H5" s="14" t="s">
        <v>3</v>
      </c>
      <c r="I5" s="1"/>
    </row>
    <row r="6" spans="1:9" x14ac:dyDescent="0.25">
      <c r="A6" s="1"/>
      <c r="B6" s="97" t="s">
        <v>102</v>
      </c>
      <c r="C6" s="98"/>
      <c r="D6" s="98"/>
      <c r="E6" s="98"/>
      <c r="F6" s="99"/>
      <c r="G6" s="26">
        <f>G5*'Fane 14. Nøgletal'!C17</f>
        <v>48694.386712857689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108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109</v>
      </c>
      <c r="C10" s="98"/>
      <c r="D10" s="98"/>
      <c r="E10" s="98"/>
      <c r="F10" s="99"/>
      <c r="G10" s="26">
        <f>(G5-G6)*(1+'Fane 14. Nøgletal'!C9)</f>
        <v>5369676.8016210515</v>
      </c>
      <c r="H10" s="14" t="s">
        <v>3</v>
      </c>
      <c r="I10" s="1"/>
    </row>
    <row r="11" spans="1:9" x14ac:dyDescent="0.25">
      <c r="A11" s="1"/>
      <c r="B11" s="100" t="s">
        <v>110</v>
      </c>
      <c r="C11" s="101"/>
      <c r="D11" s="101"/>
      <c r="E11" s="101"/>
      <c r="F11" s="102"/>
      <c r="G11" s="26">
        <v>0</v>
      </c>
      <c r="H11" s="14" t="s">
        <v>3</v>
      </c>
      <c r="I11" s="1"/>
    </row>
    <row r="12" spans="1:9" x14ac:dyDescent="0.25">
      <c r="A12" s="1"/>
      <c r="B12" s="97" t="s">
        <v>111</v>
      </c>
      <c r="C12" s="98"/>
      <c r="D12" s="98"/>
      <c r="E12" s="98"/>
      <c r="F12" s="99"/>
      <c r="G12" s="26">
        <f>G10*'Fane 14. Nøgletal'!C17+G11*'Fane 14. Nøgletal'!C18</f>
        <v>48864.058894751572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112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113</v>
      </c>
      <c r="C16" s="98"/>
      <c r="D16" s="98"/>
      <c r="E16" s="98"/>
      <c r="F16" s="99"/>
      <c r="G16" s="26">
        <f>(G10+G11-G12)*(1+'Fane 14. Nøgletal'!C11)</f>
        <v>5410734.4780783737</v>
      </c>
      <c r="H16" s="14" t="s">
        <v>3</v>
      </c>
      <c r="I16" s="1"/>
    </row>
    <row r="17" spans="1:9" x14ac:dyDescent="0.25">
      <c r="A17" s="1"/>
      <c r="B17" s="97" t="s">
        <v>226</v>
      </c>
      <c r="C17" s="98"/>
      <c r="D17" s="98"/>
      <c r="E17" s="98"/>
      <c r="F17" s="99"/>
      <c r="G17" s="26">
        <v>88942.149730417295</v>
      </c>
      <c r="H17" s="14" t="s">
        <v>3</v>
      </c>
      <c r="I17" s="1"/>
    </row>
    <row r="18" spans="1:9" x14ac:dyDescent="0.25">
      <c r="A18" s="1"/>
      <c r="B18" s="100" t="s">
        <v>114</v>
      </c>
      <c r="C18" s="101"/>
      <c r="D18" s="101"/>
      <c r="E18" s="101"/>
      <c r="F18" s="102"/>
      <c r="G18" s="26">
        <v>27664.892324329994</v>
      </c>
      <c r="H18" s="14" t="s">
        <v>3</v>
      </c>
      <c r="I18" s="1"/>
    </row>
    <row r="19" spans="1:9" x14ac:dyDescent="0.25">
      <c r="A19" s="1"/>
      <c r="B19" s="97" t="s">
        <v>115</v>
      </c>
      <c r="C19" s="98"/>
      <c r="D19" s="98"/>
      <c r="E19" s="98"/>
      <c r="F19" s="99"/>
      <c r="G19" s="26">
        <f>SUM(G16:G18)*'Fane 14. Nøgletal'!C19</f>
        <v>48087.871225158146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116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117</v>
      </c>
      <c r="C23" s="98"/>
      <c r="D23" s="98"/>
      <c r="E23" s="98"/>
      <c r="F23" s="99"/>
      <c r="G23" s="26">
        <f>(G16+G17+G18-G19)*(1+'Fane 14. Nøgletal'!C11)</f>
        <v>5571853.035574507</v>
      </c>
      <c r="H23" s="14" t="s">
        <v>3</v>
      </c>
      <c r="I23" s="1"/>
    </row>
    <row r="24" spans="1:9" x14ac:dyDescent="0.25">
      <c r="A24" s="1"/>
      <c r="B24" s="100" t="s">
        <v>118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14. Nøgletal'!C12)</f>
        <v>23563.317235708804</v>
      </c>
      <c r="H24" s="14" t="s">
        <v>3</v>
      </c>
      <c r="I24" s="1"/>
    </row>
    <row r="25" spans="1:9" x14ac:dyDescent="0.25">
      <c r="A25" s="1"/>
      <c r="B25" s="97" t="s">
        <v>119</v>
      </c>
      <c r="C25" s="98"/>
      <c r="D25" s="98"/>
      <c r="E25" s="98"/>
      <c r="F25" s="99"/>
      <c r="G25" s="26">
        <f>G23*'Fane 14. Nøgletal'!C19+G24*'Fane 14. Nøgletal'!C20</f>
        <v>49144.319618992333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121</v>
      </c>
      <c r="C29" s="98"/>
      <c r="D29" s="98"/>
      <c r="E29" s="98"/>
      <c r="F29" s="99"/>
      <c r="G29" s="26">
        <f>G23*(1-'Fane 14. Nøgletal'!C19)*(1+'Fane 14. Nøgletal'!C11)+G24*(1-'Fane 14. Nøgletal'!C20)*(1+'Fane 14. Nøgletal'!C12)</f>
        <v>5640068.134085428</v>
      </c>
      <c r="H29" s="14" t="s">
        <v>3</v>
      </c>
      <c r="I29" s="1"/>
    </row>
    <row r="30" spans="1:9" x14ac:dyDescent="0.25">
      <c r="A30" s="1"/>
      <c r="B30" s="103" t="s">
        <v>221</v>
      </c>
      <c r="C30" s="104"/>
      <c r="D30" s="104"/>
      <c r="E30" s="104"/>
      <c r="F30" s="105"/>
      <c r="G30" s="26">
        <f>G24*(1-'Fane 14. Nøgletal'!C20)*(1+'Fane 14. Nøgletal'!C12)</f>
        <v>23345.133171031102</v>
      </c>
      <c r="H30" s="14" t="s">
        <v>3</v>
      </c>
      <c r="I30" s="1"/>
    </row>
    <row r="31" spans="1:9" x14ac:dyDescent="0.25">
      <c r="A31" s="1"/>
      <c r="B31" s="97" t="s">
        <v>151</v>
      </c>
      <c r="C31" s="98"/>
      <c r="D31" s="98"/>
      <c r="E31" s="98"/>
      <c r="F31" s="99"/>
      <c r="G31" s="26">
        <f>-'Fane 12. Bortfald'!E18*(1+'Fane 14. Nøgletal'!C12)</f>
        <v>0</v>
      </c>
      <c r="H31" s="14" t="s">
        <v>3</v>
      </c>
      <c r="I31" s="1"/>
    </row>
    <row r="32" spans="1:9" x14ac:dyDescent="0.25">
      <c r="A32" s="1"/>
      <c r="B32" s="97" t="s">
        <v>122</v>
      </c>
      <c r="C32" s="98"/>
      <c r="D32" s="98"/>
      <c r="E32" s="98"/>
      <c r="F32" s="99"/>
      <c r="G32" s="26">
        <f>(G29-G30)*'Fane 14. Nøgletal'!C19+(G30+G31)*'Fane 14. Nøgletal'!C20</f>
        <v>49528.491890012534</v>
      </c>
      <c r="H32" s="14" t="s">
        <v>3</v>
      </c>
      <c r="I32" s="1"/>
    </row>
    <row r="33" spans="1:9" x14ac:dyDescent="0.25">
      <c r="A33" s="1"/>
      <c r="B33" s="44"/>
      <c r="C33" s="45"/>
      <c r="D33" s="45"/>
      <c r="E33" s="45"/>
      <c r="F33" s="45"/>
      <c r="G33" s="45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4" t="s">
        <v>192</v>
      </c>
      <c r="C35" s="95"/>
      <c r="D35" s="95"/>
      <c r="E35" s="95"/>
      <c r="F35" s="95"/>
      <c r="G35" s="95"/>
      <c r="H35" s="96"/>
      <c r="I35" s="1"/>
    </row>
    <row r="36" spans="1:9" x14ac:dyDescent="0.25">
      <c r="A36" s="1"/>
      <c r="B36" s="97" t="s">
        <v>126</v>
      </c>
      <c r="C36" s="98"/>
      <c r="D36" s="98"/>
      <c r="E36" s="98"/>
      <c r="F36" s="99"/>
      <c r="G36" s="26">
        <f>(G29-G30)*(1-'Fane 14. Nøgletal'!C19)*(1+'Fane 14. Nøgletal'!C11)+(G30+G31)*(1-'Fane 14. Nøgletal'!C20)*(1+'Fane 14. Nøgletal'!C12)</f>
        <v>5685083.2721164068</v>
      </c>
      <c r="H36" s="14" t="s">
        <v>3</v>
      </c>
      <c r="I36" s="1"/>
    </row>
    <row r="37" spans="1:9" x14ac:dyDescent="0.25">
      <c r="A37" s="1"/>
      <c r="B37" s="103" t="s">
        <v>221</v>
      </c>
      <c r="C37" s="104"/>
      <c r="D37" s="104"/>
      <c r="E37" s="104"/>
      <c r="F37" s="105"/>
      <c r="G37" s="26">
        <f>G30*(1-'Fane 14. Nøgletal'!C20)*(1+'Fane 14. Nøgletal'!C12)</f>
        <v>23128.969377336605</v>
      </c>
      <c r="H37" s="14" t="s">
        <v>3</v>
      </c>
      <c r="I37" s="1"/>
    </row>
    <row r="38" spans="1:9" x14ac:dyDescent="0.25">
      <c r="A38" s="1"/>
      <c r="B38" s="103" t="s">
        <v>222</v>
      </c>
      <c r="C38" s="104"/>
      <c r="D38" s="104"/>
      <c r="E38" s="104"/>
      <c r="F38" s="105"/>
      <c r="G38" s="26">
        <f>G31*(1-'Fane 14. Nøgletal'!C20)*(1+'Fane 14. Nøgletal'!C12)</f>
        <v>0</v>
      </c>
      <c r="H38" s="14" t="s">
        <v>3</v>
      </c>
      <c r="I38" s="1"/>
    </row>
    <row r="39" spans="1:9" x14ac:dyDescent="0.25">
      <c r="A39" s="1"/>
      <c r="B39" s="97" t="s">
        <v>152</v>
      </c>
      <c r="C39" s="98"/>
      <c r="D39" s="98"/>
      <c r="E39" s="98"/>
      <c r="F39" s="99"/>
      <c r="G39" s="26">
        <f>-'Fane 12. Bortfald'!E24*(1+'Fane 14. Nøgletal'!C12)</f>
        <v>0</v>
      </c>
      <c r="H39" s="14" t="s">
        <v>3</v>
      </c>
      <c r="I39" s="1"/>
    </row>
    <row r="40" spans="1:9" x14ac:dyDescent="0.25">
      <c r="A40" s="1"/>
      <c r="B40" s="97" t="s">
        <v>123</v>
      </c>
      <c r="C40" s="98"/>
      <c r="D40" s="98"/>
      <c r="E40" s="98"/>
      <c r="F40" s="99"/>
      <c r="G40" s="26">
        <f>(G36-SUM(G37:G38))*'Fane 14. Nøgletal'!C19+SUM(G37:G38)*'Fane 14. Nøgletal'!C20</f>
        <v>49915.865164146264</v>
      </c>
      <c r="H40" s="14" t="s">
        <v>3</v>
      </c>
      <c r="I40" s="1"/>
    </row>
    <row r="41" spans="1:9" x14ac:dyDescent="0.25">
      <c r="A41" s="1"/>
      <c r="B41" s="44"/>
      <c r="C41" s="45"/>
      <c r="D41" s="45"/>
      <c r="E41" s="45"/>
      <c r="F41" s="45"/>
      <c r="G41" s="45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130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(G36-G40)*(1+'Fane 14. Nøgletal'!C12)</f>
        <v>5746180.204869221</v>
      </c>
      <c r="H44" s="14" t="s">
        <v>3</v>
      </c>
      <c r="I44" s="1"/>
    </row>
    <row r="45" spans="1:9" x14ac:dyDescent="0.25">
      <c r="A45" s="1"/>
      <c r="B45" s="97" t="s">
        <v>153</v>
      </c>
      <c r="C45" s="98"/>
      <c r="D45" s="98"/>
      <c r="E45" s="98"/>
      <c r="F45" s="99"/>
      <c r="G45" s="26">
        <f>-'Fane 12. Bortfald'!E30*(1+'Fane 14. Nøgletal'!C12)</f>
        <v>0</v>
      </c>
      <c r="H45" s="14" t="s">
        <v>3</v>
      </c>
      <c r="I45" s="1"/>
    </row>
    <row r="46" spans="1:9" x14ac:dyDescent="0.25">
      <c r="A46" s="1"/>
      <c r="B46" s="97" t="s">
        <v>124</v>
      </c>
      <c r="C46" s="98"/>
      <c r="D46" s="98"/>
      <c r="E46" s="98"/>
      <c r="F46" s="99"/>
      <c r="G46" s="26">
        <f>(G44+G45)*'Fane 14. Nøgletal'!C20</f>
        <v>163191.51781828588</v>
      </c>
      <c r="H46" s="14" t="s">
        <v>3</v>
      </c>
      <c r="I46" s="1"/>
    </row>
    <row r="47" spans="1:9" x14ac:dyDescent="0.25">
      <c r="A47" s="1"/>
      <c r="B47" s="44"/>
      <c r="C47" s="45"/>
      <c r="D47" s="45"/>
      <c r="E47" s="45"/>
      <c r="F47" s="45"/>
      <c r="G47" s="45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LC9xvJFraSs0j00rys/3KV6D3bgBoUZw1HhZvt+Gfr+dx2CTzmLUWcRx+PYBaYJnFCdSE4zsPN+eDhqLNNfpA==" saltValue="oV5q2TONiIoIAKGkzAQWzQ==" spinCount="100000" sheet="1" objects="1" scenarios="1"/>
  <mergeCells count="32">
    <mergeCell ref="B2:H2"/>
    <mergeCell ref="B36:F36"/>
    <mergeCell ref="B46:F46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1:F31"/>
    <mergeCell ref="B22:H22"/>
    <mergeCell ref="B17:F17"/>
    <mergeCell ref="B45:F45"/>
    <mergeCell ref="B23:F23"/>
    <mergeCell ref="B24:F24"/>
    <mergeCell ref="B25:F25"/>
    <mergeCell ref="B40:F40"/>
    <mergeCell ref="B43:H43"/>
    <mergeCell ref="B44:F44"/>
    <mergeCell ref="B28:H28"/>
    <mergeCell ref="B29:F29"/>
    <mergeCell ref="B32:F32"/>
    <mergeCell ref="B35:H35"/>
    <mergeCell ref="B39:F39"/>
    <mergeCell ref="B30:F30"/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144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177</v>
      </c>
      <c r="C9" s="98"/>
      <c r="D9" s="98"/>
      <c r="E9" s="98"/>
      <c r="F9" s="99"/>
      <c r="G9" s="25">
        <v>4.8054277449550431E-3</v>
      </c>
      <c r="H9" s="14"/>
      <c r="I9" s="1"/>
    </row>
    <row r="10" spans="1:9" x14ac:dyDescent="0.25">
      <c r="A10" s="1"/>
      <c r="B10" s="97" t="s">
        <v>191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7"/>
      <c r="C13" s="107"/>
      <c r="D13" s="107"/>
      <c r="E13" s="107"/>
      <c r="F13" s="107"/>
      <c r="G13" s="107"/>
      <c r="H13" s="107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vcs0qAz2uWS7u/nzueAYCgzZKljAa/ru+3h1Rg9IMSwzwGW3zltOKJRStjqKk5+6F6XkapiuArUHUjZJzzwAw==" saltValue="GUotyn511plDBK2oyu4Rx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2019-09-12T11:33:56Z</dcterms:modified>
</cp:coreProperties>
</file>