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ÅRNBYFORSYNING Vand AS (V19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0" i="11" l="1"/>
  <c r="E18" i="32" l="1"/>
  <c r="G7" i="30" l="1"/>
  <c r="E9" i="32" l="1"/>
  <c r="E32" i="32" s="1"/>
  <c r="E9" i="40" l="1"/>
  <c r="E10" i="40" s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22" i="39" l="1"/>
  <c r="C23" i="15" s="1"/>
  <c r="C22" i="39"/>
  <c r="C22" i="15" s="1"/>
  <c r="E14" i="39"/>
  <c r="C25" i="2" s="1"/>
  <c r="E38" i="39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s="1"/>
  <c r="E39" i="32" l="1"/>
  <c r="C23" i="23" s="1"/>
  <c r="C30" i="2"/>
  <c r="C26" i="15" l="1"/>
  <c r="C25" i="22" s="1"/>
  <c r="F11" i="1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1" i="11"/>
  <c r="E10" i="37" s="1"/>
  <c r="E11" i="37" s="1"/>
  <c r="E12" i="37" s="1"/>
  <c r="C11" i="2" s="1"/>
  <c r="C11" i="15" s="1"/>
  <c r="C10" i="22" s="1"/>
  <c r="C28" i="2"/>
  <c r="G24" i="36" l="1"/>
  <c r="C16" i="15"/>
  <c r="G25" i="36" l="1"/>
  <c r="G30" i="36"/>
  <c r="G37" i="36" s="1"/>
  <c r="G29" i="36"/>
  <c r="G41" i="30"/>
  <c r="G32" i="36" l="1"/>
  <c r="G36" i="36"/>
  <c r="G40" i="36" s="1"/>
  <c r="C15" i="22"/>
  <c r="G45" i="30" l="1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<sst xmlns="http://schemas.openxmlformats.org/spreadsheetml/2006/main" count="610" uniqueCount="249">
  <si>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</si>
  <si>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</si>
  <si>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</si>
  <si>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</si>
  <si>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</si>
  <si>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</si>
  <si>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</si>
  <si>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</si>
  <si>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</si>
  <si>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</si>
  <si>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</si>
  <si>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</si>
  <si>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</si>
  <si>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</si>
  <si>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</si>
  <si>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</si>
  <si>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</si>
  <si>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</si>
  <si>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</si>
  <si>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</si>
  <si>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</si>
  <si>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</si>
  <si>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</si>
  <si>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</si>
  <si>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</si>
  <si>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</si>
  <si>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</si>
  <si>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</si>
  <si>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</si>
  <si>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</si>
  <si>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</si>
  <si>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</si>
  <si>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</si>
  <si>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</si>
  <si>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</si>
  <si>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</si>
  <si>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</si>
  <si>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</si>
  <si>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</si>
  <si>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</si>
  <si>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</si>
  <si>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</si>
  <si>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</si>
  <si>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</si>
  <si>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</si>
  <si>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</si>
  <si>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</si>
  <si>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</si>
  <si>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</si>
  <si>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</si>
  <si>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</si>
  <si>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</si>
  <si>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</si>
  <si>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</si>
  <si>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</si>
  <si>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</si>
  <si>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</si>
  <si>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</si>
  <si>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</si>
  <si>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</si>
  <si>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</si>
  <si>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</si>
  <si>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</si>
  <si>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</si>
  <si>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</si>
  <si>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</si>
  <si>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</si>
  <si>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</si>
  <si>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</si>
  <si>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</si>
  <si>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</si>
  <si>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</si>
  <si>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</si>
  <si>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</si>
  <si>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</si>
  <si>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</si>
  <si>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</si>
  <si>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</si>
  <si>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</si>
  <si>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</si>
  <si>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</si>
  <si>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</si>
  <si>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</si>
  <si>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</si>
  <si>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</si>
  <si>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</si>
  <si>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</si>
  <si>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</si>
  <si>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</si>
  <si>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</si>
  <si>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</si>
  <si>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</si>
  <si>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</si>
  <si>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</si>
  <si>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</si>
  <si>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</si>
  <si>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</si>
  <si>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</si>
  <si>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</si>
  <si>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</si>
  <si>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</si>
  <si>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</si>
  <si>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</si>
  <si>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</si>
  <si>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</si>
  <si>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</si>
  <si>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</si>
  <si>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</si>
  <si>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</si>
  <si>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</si>
  <si>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</si>
  <si>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</si>
  <si>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</si>
  <si>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</si>
  <si>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</si>
  <si>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</si>
  <si>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</si>
  <si>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</si>
  <si>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</si>
  <si>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</si>
  <si>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</si>
  <si>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</si>
  <si>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</si>
  <si>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</si>
  <si>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</si>
  <si>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</si>
  <si>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</si>
  <si>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</si>
  <si>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</si>
  <si>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</si>
  <si>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</si>
  <si>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</si>
  <si>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</si>
  <si>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</si>
  <si>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</si>
  <si>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</si>
  <si>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</si>
  <si>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</si>
  <si>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</si>
  <si>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</si>
  <si>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</si>
  <si>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</si>
  <si>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</si>
  <si>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</si>
  <si>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</si>
  <si>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</si>
  <si>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</si>
  <si>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</si>
  <si>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</si>
  <si>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</si>
  <si>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</si>
  <si>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</si>
  <si>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</si>
  <si>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</si>
  <si>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</si>
  <si>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</si>
  <si>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</si>
  <si>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</si>
  <si>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</si>
  <si>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</si>
  <si>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</si>
  <si>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</si>
  <si>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</si>
  <si>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</si>
  <si>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</si>
  <si>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</si>
  <si>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</si>
  <si>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</si>
  <si>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</si>
  <si>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</si>
  <si>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</si>
  <si>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</si>
  <si>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</si>
  <si>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</si>
  <si>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</si>
  <si>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</si>
  <si>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</si>
  <si>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</si>
  <si>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</si>
  <si>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</si>
  <si>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</si>
  <si>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</si>
  <si>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</si>
  <si>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</si>
  <si>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</si>
  <si>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</si>
  <si>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</si>
  <si>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</si>
  <si>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</si>
  <si>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</si>
  <si>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</si>
  <si>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</si>
  <si>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</si>
  <si>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</si>
  <si>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</si>
  <si>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</si>
  <si>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</si>
  <si>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</si>
  <si>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</si>
  <si>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</si>
  <si>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</si>
  <si>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</si>
  <si>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</si>
  <si>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</si>
  <si>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</si>
  <si>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</si>
  <si>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</si>
  <si>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</si>
  <si>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</si>
  <si>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</si>
  <si>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</si>
  <si>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</si>
  <si>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</si>
  <si>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</si>
  <si>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</si>
  <si>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</si>
  <si>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</si>
  <si>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</si>
  <si>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</si>
  <si>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</si>
  <si>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</si>
  <si>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</si>
  <si>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</si>
  <si>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</si>
  <si>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</si>
  <si>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</si>
  <si>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</si>
  <si>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</si>
  <si>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</si>
  <si>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</si>
  <si>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</si>
  <si>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</si>
  <si>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</si>
  <si>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</si>
  <si>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</si>
  <si>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</si>
  <si>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</si>
  <si>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</si>
  <si>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</si>
  <si>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</si>
  <si>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Afgift for ledningsført vand</t>
  </si>
  <si>
    <t>Afgift til Forsyningssekretariatet</t>
  </si>
  <si>
    <t>Køb af ydelser og produkter fra andre vandselskaber reguleret af vandsektorloven</t>
  </si>
  <si>
    <t>Ingen engangstillæg</t>
  </si>
  <si>
    <t>Nyt ionbytningsanlæg, blødgøring</t>
  </si>
  <si>
    <t>Anlægsprojekter igangsat senest 1. marts 2016</t>
  </si>
  <si>
    <t>Videreførte omkostninger fra den økonomiske ramme for 2022</t>
  </si>
  <si>
    <t>Til indregning i de økonomiske rammer for 2020-2022</t>
  </si>
  <si>
    <t xml:space="preserve">Tillæg/fradrag i de økonomiske rammer for 2020-2022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</si>
</sst>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3" t="s">
        <v>4</v>
      </c>
      <c r="E6" s="53"/>
      <c r="F6" s="53"/>
      <c r="G6" s="53"/>
      <c r="H6" s="3"/>
      <c r="I6" s="1"/>
    </row>
    <row r="7" spans="1:9" ht="15" customHeight="1" x14ac:dyDescent="0.25">
      <c r="A7" s="1"/>
      <c r="B7" s="1"/>
      <c r="C7" s="3"/>
      <c r="D7" s="53"/>
      <c r="E7" s="53"/>
      <c r="F7" s="53"/>
      <c r="G7" s="53"/>
      <c r="H7" s="3"/>
      <c r="I7" s="1"/>
    </row>
    <row r="8" spans="1:9" ht="15.75" x14ac:dyDescent="0.25">
      <c r="A8" s="1"/>
      <c r="B8" s="1"/>
      <c r="C8" s="4"/>
      <c r="D8" s="58" t="s">
        <v>239</v>
      </c>
      <c r="E8" s="58"/>
      <c r="F8" s="58"/>
      <c r="G8" s="5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7" t="s">
        <v>5</v>
      </c>
      <c r="E11" s="57"/>
      <c r="F11" s="57"/>
      <c r="G11" s="5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0" t="s">
        <v>56</v>
      </c>
      <c r="E13" s="51"/>
      <c r="F13" s="51"/>
      <c r="G13" s="52"/>
      <c r="H13" s="1"/>
      <c r="I13" s="1"/>
    </row>
    <row r="14" spans="1:9" x14ac:dyDescent="0.25">
      <c r="A14" s="1"/>
      <c r="B14" s="1"/>
      <c r="C14" s="6" t="s">
        <v>22</v>
      </c>
      <c r="D14" s="50" t="s">
        <v>237</v>
      </c>
      <c r="E14" s="51"/>
      <c r="F14" s="51"/>
      <c r="G14" s="52"/>
      <c r="H14" s="1"/>
      <c r="I14" s="1"/>
    </row>
    <row r="15" spans="1:9" x14ac:dyDescent="0.25">
      <c r="A15" s="1"/>
      <c r="B15" s="1"/>
      <c r="C15" s="6" t="s">
        <v>55</v>
      </c>
      <c r="D15" s="50" t="s">
        <v>238</v>
      </c>
      <c r="E15" s="51"/>
      <c r="F15" s="51"/>
      <c r="G15" s="52"/>
      <c r="H15" s="1"/>
      <c r="I15" s="1"/>
    </row>
    <row r="16" spans="1:9" x14ac:dyDescent="0.25">
      <c r="A16" s="1"/>
      <c r="B16" s="1"/>
      <c r="C16" s="6" t="s">
        <v>57</v>
      </c>
      <c r="D16" s="50" t="s">
        <v>134</v>
      </c>
      <c r="E16" s="51"/>
      <c r="F16" s="51"/>
      <c r="G16" s="52"/>
      <c r="H16" s="1"/>
      <c r="I16" s="1"/>
    </row>
    <row r="17" spans="1:9" x14ac:dyDescent="0.25">
      <c r="A17" s="1"/>
      <c r="B17" s="1"/>
      <c r="C17" s="6" t="s">
        <v>223</v>
      </c>
      <c r="D17" s="50" t="s">
        <v>66</v>
      </c>
      <c r="E17" s="51"/>
      <c r="F17" s="51"/>
      <c r="G17" s="52"/>
      <c r="H17" s="1"/>
      <c r="I17" s="1"/>
    </row>
    <row r="18" spans="1:9" x14ac:dyDescent="0.25">
      <c r="A18" s="1"/>
      <c r="B18" s="1"/>
      <c r="C18" s="6" t="s">
        <v>205</v>
      </c>
      <c r="D18" s="59" t="s">
        <v>162</v>
      </c>
      <c r="E18" s="60"/>
      <c r="F18" s="60"/>
      <c r="G18" s="61"/>
      <c r="H18" s="1"/>
      <c r="I18" s="1"/>
    </row>
    <row r="19" spans="1:9" x14ac:dyDescent="0.25">
      <c r="A19" s="1"/>
      <c r="B19" s="1"/>
      <c r="C19" s="6" t="s">
        <v>206</v>
      </c>
      <c r="D19" s="59" t="s">
        <v>163</v>
      </c>
      <c r="E19" s="60"/>
      <c r="F19" s="60"/>
      <c r="G19" s="61"/>
      <c r="H19" s="1"/>
      <c r="I19" s="1"/>
    </row>
    <row r="20" spans="1:9" x14ac:dyDescent="0.25">
      <c r="A20" s="1"/>
      <c r="B20" s="1"/>
      <c r="C20" s="6" t="s">
        <v>7</v>
      </c>
      <c r="D20" s="59" t="s">
        <v>10</v>
      </c>
      <c r="E20" s="60"/>
      <c r="F20" s="60"/>
      <c r="G20" s="61"/>
      <c r="H20" s="1"/>
      <c r="I20" s="1"/>
    </row>
    <row r="21" spans="1:9" x14ac:dyDescent="0.25">
      <c r="A21" s="1"/>
      <c r="B21" s="1"/>
      <c r="C21" s="6" t="s">
        <v>207</v>
      </c>
      <c r="D21" s="68" t="s">
        <v>17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229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208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209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210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180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62" t="s">
        <v>11</v>
      </c>
      <c r="E29" s="63"/>
      <c r="F29" s="63"/>
      <c r="G29" s="64"/>
      <c r="H29" s="1"/>
      <c r="I29" s="1"/>
    </row>
    <row r="30" spans="1:9" x14ac:dyDescent="0.25">
      <c r="A30" s="1"/>
      <c r="B30" s="1"/>
      <c r="C30" s="6" t="s">
        <v>62</v>
      </c>
      <c r="D30" s="65" t="s">
        <v>181</v>
      </c>
      <c r="E30" s="66"/>
      <c r="F30" s="66"/>
      <c r="G30" s="6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Ds1xsJEpGzITXJbfSMyED3LeN2t9JTCgvaYgAO86pHrADpvzutP5ko64ohv20Ss5vyfbxDdSb310lFD4yU8Aw==" saltValue="Kq0DnrHQEuscHnHhTweB/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200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69</v>
      </c>
      <c r="C8" s="95"/>
      <c r="D8" s="96"/>
      <c r="E8" s="1"/>
      <c r="F8" s="1"/>
    </row>
    <row r="9" spans="1:6" ht="15" customHeight="1" x14ac:dyDescent="0.25">
      <c r="A9" s="1"/>
      <c r="B9" s="43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240</v>
      </c>
      <c r="C10" s="9">
        <v>14376037</v>
      </c>
      <c r="D10" s="14" t="s">
        <v>3</v>
      </c>
      <c r="E10" s="1"/>
      <c r="F10" s="1"/>
    </row>
    <row r="11" spans="1:6" x14ac:dyDescent="0.25">
      <c r="A11" s="1"/>
      <c r="B11" s="46" t="s">
        <v>241</v>
      </c>
      <c r="C11" s="9">
        <v>59662</v>
      </c>
      <c r="D11" s="14" t="s">
        <v>3</v>
      </c>
      <c r="E11" s="1"/>
      <c r="F11" s="1"/>
    </row>
    <row r="12" spans="1:6" ht="26.25" x14ac:dyDescent="0.25">
      <c r="A12" s="1"/>
      <c r="B12" s="42" t="s">
        <v>242</v>
      </c>
      <c r="C12" s="9">
        <v>8920359</v>
      </c>
      <c r="D12" s="14" t="s">
        <v>3</v>
      </c>
      <c r="E12" s="1"/>
      <c r="F12" s="1"/>
    </row>
    <row r="13" spans="1:6" x14ac:dyDescent="0.25">
      <c r="A13" s="1"/>
      <c r="B13" s="37" t="s">
        <v>71</v>
      </c>
      <c r="C13" s="12">
        <f>SUM(C10:C12)</f>
        <v>23356058</v>
      </c>
      <c r="D13" s="13" t="s">
        <v>3</v>
      </c>
      <c r="E13" s="1"/>
      <c r="F13" s="1"/>
    </row>
    <row r="14" spans="1:6" x14ac:dyDescent="0.25">
      <c r="A14" s="1"/>
      <c r="B14" s="37" t="s">
        <v>72</v>
      </c>
      <c r="C14" s="12">
        <f>C13*(1+'Fane 14. Nøgletal'!C12)^2</f>
        <v>24285350.937749222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b38ulHo2jIflH/eOHdPhO5Gf2HHsVPINv702s1pJRB3HVKWtAPTQWHXYn3F98K/8g2OASWV/85f847Ledkpoow==" saltValue="G0pfE8OuXn6Q+zBcWu39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204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ht="15" customHeight="1" x14ac:dyDescent="0.25">
      <c r="A5" s="1"/>
      <c r="B5" s="41"/>
      <c r="C5" s="41"/>
      <c r="D5" s="41"/>
      <c r="E5" s="41"/>
      <c r="F5" s="41"/>
      <c r="G5" s="1"/>
    </row>
    <row r="6" spans="1:7" ht="15" customHeight="1" x14ac:dyDescent="0.25">
      <c r="A6" s="1"/>
      <c r="B6" s="94" t="s">
        <v>52</v>
      </c>
      <c r="C6" s="95"/>
      <c r="D6" s="95"/>
      <c r="E6" s="95"/>
      <c r="F6" s="96"/>
      <c r="G6" s="1"/>
    </row>
    <row r="7" spans="1:7" ht="15" customHeight="1" x14ac:dyDescent="0.25">
      <c r="A7" s="1"/>
      <c r="B7" s="97" t="s">
        <v>50</v>
      </c>
      <c r="C7" s="98"/>
      <c r="D7" s="99"/>
      <c r="E7" s="9">
        <v>1183902.7333333334</v>
      </c>
      <c r="F7" s="14" t="s">
        <v>3</v>
      </c>
      <c r="G7" s="1"/>
    </row>
    <row r="8" spans="1:7" ht="15" customHeight="1" x14ac:dyDescent="0.25">
      <c r="A8" s="1"/>
      <c r="B8" s="97" t="s">
        <v>51</v>
      </c>
      <c r="C8" s="98"/>
      <c r="D8" s="99"/>
      <c r="E8" s="9">
        <v>-106533.52040719986</v>
      </c>
      <c r="F8" s="14" t="s">
        <v>3</v>
      </c>
      <c r="G8" s="1"/>
    </row>
    <row r="9" spans="1:7" ht="15" customHeight="1" x14ac:dyDescent="0.25">
      <c r="A9" s="1"/>
      <c r="B9" s="108" t="s">
        <v>183</v>
      </c>
      <c r="C9" s="109"/>
      <c r="D9" s="110"/>
      <c r="E9" s="10">
        <f>SUM(E7:E8)</f>
        <v>1077369.2129261335</v>
      </c>
      <c r="F9" s="17" t="s">
        <v>3</v>
      </c>
      <c r="G9" s="1"/>
    </row>
    <row r="10" spans="1:7" ht="15" customHeight="1" x14ac:dyDescent="0.25">
      <c r="A10" s="1"/>
      <c r="B10" s="37"/>
      <c r="C10" s="38"/>
      <c r="D10" s="38"/>
      <c r="E10" s="38"/>
      <c r="F10" s="22"/>
      <c r="G10" s="1"/>
    </row>
    <row r="11" spans="1:7" ht="28.5" customHeight="1" x14ac:dyDescent="0.25">
      <c r="A11" s="1"/>
      <c r="B11" s="73" t="s">
        <v>185</v>
      </c>
      <c r="C11" s="74"/>
      <c r="D11" s="74"/>
      <c r="E11" s="74"/>
      <c r="F11" s="75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165</v>
      </c>
      <c r="C14" s="95"/>
      <c r="D14" s="95"/>
      <c r="E14" s="95"/>
      <c r="F14" s="96"/>
      <c r="G14" s="1"/>
    </row>
    <row r="15" spans="1:7" x14ac:dyDescent="0.25">
      <c r="A15" s="1"/>
      <c r="B15" s="97" t="s">
        <v>166</v>
      </c>
      <c r="C15" s="98"/>
      <c r="D15" s="99"/>
      <c r="E15" s="9">
        <v>36993967.319766663</v>
      </c>
      <c r="F15" s="14" t="s">
        <v>3</v>
      </c>
      <c r="G15" s="1"/>
    </row>
    <row r="16" spans="1:7" x14ac:dyDescent="0.25">
      <c r="A16" s="1"/>
      <c r="B16" s="97" t="s">
        <v>167</v>
      </c>
      <c r="C16" s="98"/>
      <c r="D16" s="99"/>
      <c r="E16" s="9">
        <v>37946942</v>
      </c>
      <c r="F16" s="14" t="s">
        <v>3</v>
      </c>
      <c r="G16" s="1"/>
    </row>
    <row r="17" spans="1:7" x14ac:dyDescent="0.25">
      <c r="A17" s="1"/>
      <c r="B17" s="97" t="s">
        <v>49</v>
      </c>
      <c r="C17" s="98"/>
      <c r="D17" s="99"/>
      <c r="E17" s="9">
        <v>0</v>
      </c>
      <c r="F17" s="14" t="s">
        <v>3</v>
      </c>
      <c r="G17" s="1"/>
    </row>
    <row r="18" spans="1:7" x14ac:dyDescent="0.25">
      <c r="A18" s="1"/>
      <c r="B18" s="108" t="s">
        <v>184</v>
      </c>
      <c r="C18" s="109"/>
      <c r="D18" s="110"/>
      <c r="E18" s="10">
        <f>E15-(E16-E17)</f>
        <v>-952974.68023333699</v>
      </c>
      <c r="F18" s="17" t="s">
        <v>3</v>
      </c>
      <c r="G18" s="1"/>
    </row>
    <row r="19" spans="1:7" x14ac:dyDescent="0.25">
      <c r="A19" s="1"/>
      <c r="B19" s="37"/>
      <c r="C19" s="38"/>
      <c r="D19" s="38"/>
      <c r="E19" s="38"/>
      <c r="F19" s="22"/>
      <c r="G19" s="1"/>
    </row>
    <row r="20" spans="1:7" ht="27.75" customHeight="1" x14ac:dyDescent="0.25">
      <c r="A20" s="1"/>
      <c r="B20" s="73" t="s">
        <v>187</v>
      </c>
      <c r="C20" s="74"/>
      <c r="D20" s="74"/>
      <c r="E20" s="74"/>
      <c r="F20" s="75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4" t="s">
        <v>77</v>
      </c>
      <c r="C23" s="95"/>
      <c r="D23" s="95"/>
      <c r="E23" s="95"/>
      <c r="F23" s="96"/>
      <c r="G23" s="1"/>
    </row>
    <row r="24" spans="1:7" x14ac:dyDescent="0.25">
      <c r="A24" s="1"/>
      <c r="B24" s="97" t="s">
        <v>78</v>
      </c>
      <c r="C24" s="98"/>
      <c r="D24" s="99"/>
      <c r="E24" s="9">
        <v>39362667.935933299</v>
      </c>
      <c r="F24" s="14" t="s">
        <v>3</v>
      </c>
      <c r="G24" s="1"/>
    </row>
    <row r="25" spans="1:7" x14ac:dyDescent="0.25">
      <c r="A25" s="1"/>
      <c r="B25" s="97" t="s">
        <v>79</v>
      </c>
      <c r="C25" s="98"/>
      <c r="D25" s="99"/>
      <c r="E25" s="9">
        <v>40152143</v>
      </c>
      <c r="F25" s="14" t="s">
        <v>3</v>
      </c>
      <c r="G25" s="1"/>
    </row>
    <row r="26" spans="1:7" x14ac:dyDescent="0.25">
      <c r="A26" s="1"/>
      <c r="B26" s="97" t="s">
        <v>49</v>
      </c>
      <c r="C26" s="98"/>
      <c r="D26" s="99"/>
      <c r="E26" s="9">
        <v>0</v>
      </c>
      <c r="F26" s="14" t="s">
        <v>3</v>
      </c>
      <c r="G26" s="1"/>
    </row>
    <row r="27" spans="1:7" x14ac:dyDescent="0.25">
      <c r="A27" s="1"/>
      <c r="B27" s="108" t="s">
        <v>184</v>
      </c>
      <c r="C27" s="109"/>
      <c r="D27" s="110"/>
      <c r="E27" s="10">
        <f>E24-(E25-E26)</f>
        <v>-789475.06406670064</v>
      </c>
      <c r="F27" s="17" t="s">
        <v>3</v>
      </c>
      <c r="G27" s="1"/>
    </row>
    <row r="28" spans="1:7" x14ac:dyDescent="0.25">
      <c r="A28" s="1"/>
      <c r="B28" s="37"/>
      <c r="C28" s="38"/>
      <c r="D28" s="38"/>
      <c r="E28" s="38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4" t="s">
        <v>247</v>
      </c>
      <c r="C31" s="95"/>
      <c r="D31" s="95"/>
      <c r="E31" s="95"/>
      <c r="F31" s="96"/>
      <c r="G31" s="1"/>
    </row>
    <row r="32" spans="1:7" x14ac:dyDescent="0.25">
      <c r="A32" s="1"/>
      <c r="B32" s="108" t="s">
        <v>248</v>
      </c>
      <c r="C32" s="109"/>
      <c r="D32" s="110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31098.633173199138</v>
      </c>
      <c r="F32" s="17" t="s">
        <v>3</v>
      </c>
      <c r="G32" s="1"/>
    </row>
    <row r="33" spans="1:7" x14ac:dyDescent="0.25">
      <c r="A33" s="1"/>
      <c r="B33" s="94"/>
      <c r="C33" s="95"/>
      <c r="D33" s="95"/>
      <c r="E33" s="95"/>
      <c r="F33" s="96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189</v>
      </c>
      <c r="C36" s="95"/>
      <c r="D36" s="95"/>
      <c r="E36" s="95"/>
      <c r="F36" s="96"/>
      <c r="G36" s="1"/>
    </row>
    <row r="37" spans="1:7" x14ac:dyDescent="0.25">
      <c r="A37" s="1"/>
      <c r="B37" s="103" t="s">
        <v>53</v>
      </c>
      <c r="C37" s="104"/>
      <c r="D37" s="105"/>
      <c r="E37" s="9">
        <f>IF(AND(E9&gt;0,E18&gt;0),IF(E18+E27&gt;=0,0,IF(E18+E27&lt;0,E18+E27,0)),IF(AND(E9&lt;0,E18&gt;0,ABS(E9)&lt;ABS(E18)),IF(E9+E18+E27&gt;=0,0,IF(E9+E18+E27&lt;0,E9+E18+E27,0)),IF(E27&gt;=0,0,E27)))</f>
        <v>-789475.06406670064</v>
      </c>
      <c r="F37" s="14" t="s">
        <v>3</v>
      </c>
      <c r="G37" s="1"/>
    </row>
    <row r="38" spans="1:7" x14ac:dyDescent="0.25">
      <c r="A38" s="1"/>
      <c r="B38" s="103" t="s">
        <v>182</v>
      </c>
      <c r="C38" s="104"/>
      <c r="D38" s="105"/>
      <c r="E38" s="9">
        <v>4</v>
      </c>
      <c r="F38" s="14" t="s">
        <v>27</v>
      </c>
      <c r="G38" s="1"/>
    </row>
    <row r="39" spans="1:7" x14ac:dyDescent="0.25">
      <c r="A39" s="1"/>
      <c r="B39" s="108" t="s">
        <v>190</v>
      </c>
      <c r="C39" s="109"/>
      <c r="D39" s="110"/>
      <c r="E39" s="10">
        <f>E37/E38</f>
        <v>-197368.76601667516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I5AzvrVXEU2Sz1DeSsXi36CuLQXZX5mawbgWRNJGh05TPnwmP6gqKfLX8XJbA+mxisEZlDVjrKeBK4qKdp7ig==" saltValue="XWC9coTYwg6qdKFpnOSdj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231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159</v>
      </c>
      <c r="C8" s="95"/>
      <c r="D8" s="95"/>
      <c r="E8" s="95"/>
      <c r="F8" s="96"/>
      <c r="G8" s="1"/>
    </row>
    <row r="9" spans="1:7" ht="29.25" customHeight="1" x14ac:dyDescent="0.25">
      <c r="A9" s="1"/>
      <c r="B9" s="85" t="s">
        <v>164</v>
      </c>
      <c r="C9" s="86"/>
      <c r="D9" s="8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0</v>
      </c>
      <c r="F9" s="11" t="s">
        <v>3</v>
      </c>
      <c r="G9" s="1"/>
    </row>
    <row r="10" spans="1:7" x14ac:dyDescent="0.25">
      <c r="A10" s="1"/>
      <c r="B10" s="37" t="s">
        <v>175</v>
      </c>
      <c r="C10" s="38"/>
      <c r="D10" s="38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NJ83hCyQZ17ovFy9JjC6h1ji3eHPMPl75ljUxJFTSS03rSOWpXXV3Bz0WrCmoCEwmybmSCz87/5xlWhBYqjaQ==" saltValue="OQ/8fVabiuIonKYRMsT5n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232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233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0"/>
      <c r="I9" s="1"/>
    </row>
    <row r="10" spans="1:9" ht="26.25" x14ac:dyDescent="0.25">
      <c r="A10" s="1"/>
      <c r="B10" s="114" t="s">
        <v>244</v>
      </c>
      <c r="C10" s="115">
        <v>10</v>
      </c>
      <c r="D10" s="9">
        <v>5403611</v>
      </c>
      <c r="E10" s="9">
        <f>IFERROR(D10/C10,0)</f>
        <v>540361.1</v>
      </c>
      <c r="F10" s="9">
        <v>521328</v>
      </c>
      <c r="G10" s="9">
        <v>37841</v>
      </c>
      <c r="H10" s="14" t="s">
        <v>3</v>
      </c>
      <c r="I10" s="1"/>
    </row>
    <row r="11" spans="1:9" x14ac:dyDescent="0.25">
      <c r="A11" s="1"/>
      <c r="B11" s="94" t="s">
        <v>234</v>
      </c>
      <c r="C11" s="95"/>
      <c r="D11" s="96"/>
      <c r="E11" s="12">
        <f>SUM(E10:E10)</f>
        <v>540361.1</v>
      </c>
      <c r="F11" s="12">
        <f>SUM(F10:F10)</f>
        <v>521328</v>
      </c>
      <c r="G11" s="12">
        <f>SUM(G10:G10)</f>
        <v>37841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NjBhhhWbH6RhaR8REgezqp4MgkOEa+qDfmXKgzxSYvAAu0Qm7EXVjHXz1Ija6jfSAQ/Yk8MPo/3p5pes7Er9g==" saltValue="g+WyeapL6XYrHdXy+Z/x8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137</v>
      </c>
      <c r="C8" s="38"/>
      <c r="D8" s="38"/>
      <c r="E8" s="38"/>
      <c r="F8" s="22"/>
      <c r="G8" s="1"/>
    </row>
    <row r="9" spans="1:7" ht="17.25" customHeight="1" x14ac:dyDescent="0.25">
      <c r="A9" s="1"/>
      <c r="B9" s="44" t="s">
        <v>24</v>
      </c>
      <c r="C9" s="44" t="s">
        <v>16</v>
      </c>
      <c r="D9" s="45"/>
      <c r="E9" s="44" t="s">
        <v>47</v>
      </c>
      <c r="F9" s="40"/>
      <c r="G9" s="1"/>
    </row>
    <row r="10" spans="1:7" x14ac:dyDescent="0.25">
      <c r="A10" s="1"/>
      <c r="B10" s="27" t="s">
        <v>245</v>
      </c>
      <c r="C10" s="24">
        <f>'Fane 9. Anlægsprojekter'!F11</f>
        <v>521328</v>
      </c>
      <c r="D10" s="14" t="s">
        <v>3</v>
      </c>
      <c r="E10" s="9">
        <f>SUM('Fane 9. Anlægsprojekter'!E11,'Fane 9. Anlægsprojekter'!G11)</f>
        <v>578202.1</v>
      </c>
      <c r="F10" s="14" t="s">
        <v>3</v>
      </c>
      <c r="G10" s="1"/>
    </row>
    <row r="11" spans="1:7" x14ac:dyDescent="0.25">
      <c r="A11" s="1"/>
      <c r="B11" s="37" t="s">
        <v>63</v>
      </c>
      <c r="C11" s="12">
        <f>SUM(C10:C10)</f>
        <v>521328</v>
      </c>
      <c r="D11" s="13" t="s">
        <v>3</v>
      </c>
      <c r="E11" s="12">
        <f>SUM(E10:E10)</f>
        <v>578202.1</v>
      </c>
      <c r="F11" s="13" t="s">
        <v>3</v>
      </c>
      <c r="G11" s="1"/>
    </row>
    <row r="12" spans="1:7" x14ac:dyDescent="0.25">
      <c r="A12" s="1"/>
      <c r="B12" s="37" t="s">
        <v>74</v>
      </c>
      <c r="C12" s="12">
        <f>C11*(1+'Fane 14. Nøgletal'!C12)</f>
        <v>531598.16159999999</v>
      </c>
      <c r="D12" s="13" t="s">
        <v>3</v>
      </c>
      <c r="E12" s="12">
        <f>E11*(1+'Fane 14. Nøgletal'!C12)</f>
        <v>589592.68137000001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tC+0q/XLsyQIgifs7YQGzHDdTz8egSLd3r5TsPneclh/hnsE55iLCOHuvvlDah8elc21VIg7yeI8ywKnKXdQg==" saltValue="EG2vlf7iFoIpPdSPJ4OG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202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168</v>
      </c>
      <c r="C8" s="95"/>
      <c r="D8" s="95"/>
      <c r="E8" s="95"/>
      <c r="F8" s="96"/>
      <c r="G8" s="1"/>
    </row>
    <row r="9" spans="1:7" x14ac:dyDescent="0.25">
      <c r="A9" s="1"/>
      <c r="B9" s="44" t="s">
        <v>24</v>
      </c>
      <c r="C9" s="44" t="s">
        <v>16</v>
      </c>
      <c r="D9" s="45"/>
      <c r="E9" s="44" t="s">
        <v>47</v>
      </c>
      <c r="F9" s="40"/>
      <c r="G9" s="1"/>
    </row>
    <row r="10" spans="1:7" x14ac:dyDescent="0.2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7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169</v>
      </c>
      <c r="C16" s="95"/>
      <c r="D16" s="95"/>
      <c r="E16" s="95"/>
      <c r="F16" s="96"/>
      <c r="G16" s="1"/>
    </row>
    <row r="17" spans="1:7" x14ac:dyDescent="0.25">
      <c r="A17" s="1"/>
      <c r="B17" s="44" t="s">
        <v>24</v>
      </c>
      <c r="C17" s="44" t="s">
        <v>16</v>
      </c>
      <c r="D17" s="45"/>
      <c r="E17" s="44" t="s">
        <v>47</v>
      </c>
      <c r="F17" s="40"/>
      <c r="G17" s="1"/>
    </row>
    <row r="18" spans="1:7" x14ac:dyDescent="0.2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7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170</v>
      </c>
      <c r="C24" s="95"/>
      <c r="D24" s="95"/>
      <c r="E24" s="95"/>
      <c r="F24" s="96"/>
      <c r="G24" s="1"/>
    </row>
    <row r="25" spans="1:7" x14ac:dyDescent="0.25">
      <c r="A25" s="1"/>
      <c r="B25" s="44" t="s">
        <v>24</v>
      </c>
      <c r="C25" s="44" t="s">
        <v>16</v>
      </c>
      <c r="D25" s="45"/>
      <c r="E25" s="44" t="s">
        <v>47</v>
      </c>
      <c r="F25" s="40"/>
      <c r="G25" s="1"/>
    </row>
    <row r="26" spans="1:7" x14ac:dyDescent="0.2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7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171</v>
      </c>
      <c r="C32" s="95"/>
      <c r="D32" s="95"/>
      <c r="E32" s="95"/>
      <c r="F32" s="96"/>
      <c r="G32" s="1"/>
    </row>
    <row r="33" spans="1:7" x14ac:dyDescent="0.25">
      <c r="A33" s="1"/>
      <c r="B33" s="44" t="s">
        <v>24</v>
      </c>
      <c r="C33" s="44" t="s">
        <v>16</v>
      </c>
      <c r="D33" s="45"/>
      <c r="E33" s="44" t="s">
        <v>47</v>
      </c>
      <c r="F33" s="40"/>
      <c r="G33" s="1"/>
    </row>
    <row r="34" spans="1:7" x14ac:dyDescent="0.2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7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PXnbFrD9NAnqUJb1tXfVPl51Bc7Q+t9fDZ3b5JAxvZc9pvmUK24cuXezv1FbNjlcjcGnmEdWKprkhFBmYUJFA==" saltValue="pQAMXEzjWL8ONtZ3MzRpG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228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31</v>
      </c>
      <c r="C8" s="95"/>
      <c r="D8" s="95"/>
      <c r="E8" s="95"/>
      <c r="F8" s="96"/>
      <c r="G8" s="1"/>
    </row>
    <row r="9" spans="1:7" ht="15" customHeight="1" x14ac:dyDescent="0.25">
      <c r="A9" s="1"/>
      <c r="B9" s="39" t="s">
        <v>32</v>
      </c>
      <c r="C9" s="85" t="s">
        <v>16</v>
      </c>
      <c r="D9" s="87"/>
      <c r="E9" s="85" t="s">
        <v>47</v>
      </c>
      <c r="F9" s="87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D2RMa9mJkBXb4G0Cdo0aZlWO3WsnJ0r3HK9i9ehaDo83oBTteA0i1B1Qi3XRJqMJL3w+IjWLpZhUl+Mw4grCg==" saltValue="CPy26ovArEDa6J9W7cFHV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201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39" t="s">
        <v>25</v>
      </c>
      <c r="C9" s="39" t="s">
        <v>16</v>
      </c>
      <c r="D9" s="40"/>
      <c r="E9" s="39" t="s">
        <v>47</v>
      </c>
      <c r="F9" s="40"/>
      <c r="G9" s="1"/>
    </row>
    <row r="10" spans="1:7" x14ac:dyDescent="0.25">
      <c r="A10" s="1"/>
      <c r="B10" s="27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157</v>
      </c>
      <c r="C14" s="95"/>
      <c r="D14" s="95"/>
      <c r="E14" s="95"/>
      <c r="F14" s="96"/>
      <c r="G14" s="1"/>
    </row>
    <row r="15" spans="1:7" ht="26.25" x14ac:dyDescent="0.25">
      <c r="A15" s="1"/>
      <c r="B15" s="39" t="s">
        <v>25</v>
      </c>
      <c r="C15" s="39" t="s">
        <v>16</v>
      </c>
      <c r="D15" s="40"/>
      <c r="E15" s="39" t="s">
        <v>47</v>
      </c>
      <c r="F15" s="40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26.25" x14ac:dyDescent="0.25">
      <c r="A21" s="1"/>
      <c r="B21" s="39" t="s">
        <v>25</v>
      </c>
      <c r="C21" s="39" t="s">
        <v>16</v>
      </c>
      <c r="D21" s="40"/>
      <c r="E21" s="39" t="s">
        <v>47</v>
      </c>
      <c r="F21" s="40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158</v>
      </c>
      <c r="C26" s="95"/>
      <c r="D26" s="95"/>
      <c r="E26" s="95"/>
      <c r="F26" s="96"/>
      <c r="G26" s="1"/>
    </row>
    <row r="27" spans="1:7" ht="26.25" x14ac:dyDescent="0.25">
      <c r="A27" s="1"/>
      <c r="B27" s="39" t="s">
        <v>25</v>
      </c>
      <c r="C27" s="39" t="s">
        <v>16</v>
      </c>
      <c r="D27" s="40"/>
      <c r="E27" s="39" t="s">
        <v>47</v>
      </c>
      <c r="F27" s="40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HtpnF4wriYvkaArFLxLBQtso1t379p8ciDpX2Du1MisbdJdMZzMNC3SBoYNncSgnvdDOvYe19iy7WfLEj+WkQ==" saltValue="2sNw/Kc5Btna7+JVC59K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227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9000998</v>
      </c>
      <c r="H9" s="14" t="s">
        <v>3</v>
      </c>
      <c r="I9" s="1"/>
    </row>
    <row r="10" spans="1:9" x14ac:dyDescent="0.25">
      <c r="A10" s="1"/>
      <c r="B10" s="97" t="s">
        <v>135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80</v>
      </c>
      <c r="C11" s="98"/>
      <c r="D11" s="98"/>
      <c r="E11" s="98"/>
      <c r="F11" s="99"/>
      <c r="G11" s="9">
        <v>-7910153</v>
      </c>
      <c r="H11" s="14" t="s">
        <v>3</v>
      </c>
      <c r="I11" s="1"/>
    </row>
    <row r="12" spans="1:9" x14ac:dyDescent="0.25">
      <c r="A12" s="1"/>
      <c r="B12" s="111" t="s">
        <v>15</v>
      </c>
      <c r="C12" s="112"/>
      <c r="D12" s="112"/>
      <c r="E12" s="112"/>
      <c r="F12" s="113"/>
      <c r="G12" s="19">
        <f>(G9+G10)+G11</f>
        <v>1090845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27</v>
      </c>
      <c r="I13" s="1"/>
    </row>
    <row r="14" spans="1:9" x14ac:dyDescent="0.25">
      <c r="A14" s="1"/>
      <c r="B14" s="94" t="s">
        <v>136</v>
      </c>
      <c r="C14" s="95"/>
      <c r="D14" s="95"/>
      <c r="E14" s="95"/>
      <c r="F14" s="96"/>
      <c r="G14" s="12">
        <f>IF(G13 = 0,0,-G12/G13)</f>
        <v>-1090845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pp44xkI6v/OxPX4U0fZdXAZ1okQHlnN0JMSUxhhmVYvEYE4POeylaLk4IGKRjQH1WKGJTkDutQYRnhiTa5CfA==" saltValue="x6rSSywsDRLI7HGZW9LNa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8" t="s">
        <v>54</v>
      </c>
      <c r="C3" s="88"/>
      <c r="D3" s="1"/>
    </row>
    <row r="4" spans="1:4" ht="25.5" customHeight="1" x14ac:dyDescent="0.25">
      <c r="A4" s="1"/>
      <c r="B4" s="88"/>
      <c r="C4" s="8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37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7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37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7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37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h0DKBY9nwBQWBG8PhcjKxk6A09Hxcffnnrvs1iGcwzuJNl8RlgEd5cyY9VUpfbpg95Z2l+h8+Vlj6//r01haNw==" saltValue="cKHB9mZaFRsDXeFkuR47/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65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20</v>
      </c>
      <c r="C8" s="38"/>
      <c r="D8" s="22"/>
      <c r="E8" s="1"/>
    </row>
    <row r="9" spans="1:5" x14ac:dyDescent="0.25">
      <c r="A9" s="1"/>
      <c r="B9" s="42" t="s">
        <v>34</v>
      </c>
      <c r="C9" s="7">
        <f>'Fane 3. Omkostninger i ØR2019'!E22</f>
        <v>14670285.069665441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531598.16159999999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589592.68137000001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270015.27728385496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-167306.17145167166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-78793.901886594525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15815391.116581028</v>
      </c>
      <c r="D20" s="11" t="s">
        <v>3</v>
      </c>
      <c r="E20" s="1"/>
    </row>
    <row r="21" spans="1:5" ht="15" customHeight="1" x14ac:dyDescent="0.25">
      <c r="A21" s="1"/>
      <c r="B21" s="37" t="s">
        <v>17</v>
      </c>
      <c r="C21" s="38"/>
      <c r="D21" s="22"/>
      <c r="E21" s="1"/>
    </row>
    <row r="22" spans="1:5" ht="15" customHeight="1" x14ac:dyDescent="0.25">
      <c r="A22" s="1"/>
      <c r="B22" s="39" t="s">
        <v>17</v>
      </c>
      <c r="C22" s="10">
        <f>'Fane 6. Ikke-påvirkelige omk.'!C14</f>
        <v>24285350.937749222</v>
      </c>
      <c r="D22" s="11" t="s">
        <v>3</v>
      </c>
      <c r="E22" s="1"/>
    </row>
    <row r="23" spans="1:5" ht="15" customHeight="1" x14ac:dyDescent="0.25">
      <c r="A23" s="1"/>
      <c r="B23" s="37" t="s">
        <v>142</v>
      </c>
      <c r="C23" s="38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7" t="s">
        <v>11</v>
      </c>
      <c r="C27" s="38"/>
      <c r="D27" s="22"/>
      <c r="E27" s="1"/>
    </row>
    <row r="28" spans="1:5" ht="15" customHeight="1" x14ac:dyDescent="0.25">
      <c r="A28" s="1"/>
      <c r="B28" s="39" t="s">
        <v>19</v>
      </c>
      <c r="C28" s="10">
        <f>'Fane 13. Hist. over-underdæk.'!G14</f>
        <v>-1090845</v>
      </c>
      <c r="D28" s="11" t="s">
        <v>3</v>
      </c>
      <c r="E28" s="1"/>
    </row>
    <row r="29" spans="1:5" x14ac:dyDescent="0.25">
      <c r="A29" s="1"/>
      <c r="B29" s="37" t="s">
        <v>53</v>
      </c>
      <c r="C29" s="38"/>
      <c r="D29" s="22"/>
      <c r="E29" s="1"/>
    </row>
    <row r="30" spans="1:5" x14ac:dyDescent="0.25">
      <c r="A30" s="1"/>
      <c r="B30" s="43" t="s">
        <v>186</v>
      </c>
      <c r="C30" s="10">
        <f>'Fane 7. Kontrol af ØR2018'!E32</f>
        <v>31098.633173199138</v>
      </c>
      <c r="D30" s="11" t="s">
        <v>3</v>
      </c>
      <c r="E30" s="1"/>
    </row>
    <row r="31" spans="1:5" x14ac:dyDescent="0.25">
      <c r="A31" s="1"/>
      <c r="B31" s="37" t="s">
        <v>229</v>
      </c>
      <c r="C31" s="38"/>
      <c r="D31" s="22"/>
      <c r="E31" s="1"/>
    </row>
    <row r="32" spans="1:5" x14ac:dyDescent="0.25">
      <c r="A32" s="1"/>
      <c r="B32" s="39" t="s">
        <v>230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7" t="s">
        <v>35</v>
      </c>
      <c r="C33" s="12">
        <f>SUM(C20,C22,C26,C28,C30,C32)</f>
        <v>39040995.68750345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RCwtgruiiFvbBRS6iBr9cyNoKb217YC4wludYZfWjAvLhq5pwOgL5ymEU9CyFE6eXCERYZAJk/+cdLqQPpTAw==" saltValue="l70z7G/Cn5Ht7JDFKJxdz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85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20</v>
      </c>
      <c r="C8" s="38"/>
      <c r="D8" s="22"/>
      <c r="E8" s="1"/>
    </row>
    <row r="9" spans="1:5" ht="15" customHeight="1" x14ac:dyDescent="0.25">
      <c r="A9" s="1"/>
      <c r="B9" s="42" t="s">
        <v>36</v>
      </c>
      <c r="C9" s="7">
        <f>'Fane 2.1. Økonomisk ramme 2020'!C20</f>
        <v>15815391.116581028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531229.23247584957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584133.35972870816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270403.12512839213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-166760.72167123944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-79132.828893534708</v>
      </c>
      <c r="D17" s="8" t="s">
        <v>3</v>
      </c>
      <c r="E17" s="1"/>
    </row>
    <row r="18" spans="1:5" ht="15" customHeight="1" x14ac:dyDescent="0.25">
      <c r="A18" s="1"/>
      <c r="B18" s="43" t="s">
        <v>28</v>
      </c>
      <c r="C18" s="10">
        <f>SUM(C9,C12:C17)</f>
        <v>15839900.691144647</v>
      </c>
      <c r="D18" s="11" t="s">
        <v>3</v>
      </c>
      <c r="E18" s="1"/>
    </row>
    <row r="19" spans="1:5" x14ac:dyDescent="0.25">
      <c r="A19" s="1"/>
      <c r="B19" s="37" t="s">
        <v>17</v>
      </c>
      <c r="C19" s="38"/>
      <c r="D19" s="22"/>
      <c r="E19" s="1"/>
    </row>
    <row r="20" spans="1:5" ht="15" customHeight="1" x14ac:dyDescent="0.25">
      <c r="A20" s="1"/>
      <c r="B20" s="39" t="s">
        <v>17</v>
      </c>
      <c r="C20" s="10">
        <f>'Fane 6. Ikke-påvirkelige omk.'!C14*(1+'Fane 14. Nøgletal'!C12)</f>
        <v>24763772.351222884</v>
      </c>
      <c r="D20" s="11" t="s">
        <v>3</v>
      </c>
      <c r="E20" s="1"/>
    </row>
    <row r="21" spans="1:5" ht="15" customHeight="1" x14ac:dyDescent="0.25">
      <c r="A21" s="1"/>
      <c r="B21" s="37" t="s">
        <v>142</v>
      </c>
      <c r="C21" s="38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7" t="s">
        <v>160</v>
      </c>
      <c r="C25" s="38"/>
      <c r="D25" s="22"/>
      <c r="E25" s="1"/>
    </row>
    <row r="26" spans="1:5" ht="15" customHeight="1" x14ac:dyDescent="0.25">
      <c r="A26" s="1"/>
      <c r="B26" s="43" t="s">
        <v>186</v>
      </c>
      <c r="C26" s="10">
        <f>'Fane 2.1. Økonomisk ramme 2020'!C30</f>
        <v>31098.633173199138</v>
      </c>
      <c r="D26" s="11" t="s">
        <v>3</v>
      </c>
      <c r="E26" s="1"/>
    </row>
    <row r="27" spans="1:5" x14ac:dyDescent="0.25">
      <c r="A27" s="1"/>
      <c r="B27" s="37" t="s">
        <v>44</v>
      </c>
      <c r="C27" s="12">
        <f>SUM(C18,C20,C24,C26)</f>
        <v>40634771.67554073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toa0sjWe8a3pNgJ8xhUBi+8WMhfgY6wncQI5Wjs01R2RnTt4dbjceZQKi1BvhS/wMWxC0sXlkMh9qEPEUN0gA==" saltValue="sVqIY/18fImH4UQetfjcl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196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20</v>
      </c>
      <c r="C7" s="38"/>
      <c r="D7" s="22"/>
      <c r="E7" s="1"/>
    </row>
    <row r="8" spans="1:5" ht="15" customHeight="1" x14ac:dyDescent="0.25">
      <c r="A8" s="1"/>
      <c r="B8" s="42" t="s">
        <v>37</v>
      </c>
      <c r="C8" s="7">
        <f>'Fane 2.2. Økonomisk ramme 2021'!C18</f>
        <v>15839900.691144647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530860.55938851135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578724.5885669674</v>
      </c>
      <c r="D10" s="8" t="s">
        <v>3</v>
      </c>
      <c r="E10" s="1"/>
    </row>
    <row r="11" spans="1:5" ht="15" customHeight="1" x14ac:dyDescent="0.25">
      <c r="A11" s="1"/>
      <c r="B11" s="42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2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270801.16009461985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-166217.12650145945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-79477.222352532786</v>
      </c>
      <c r="D16" s="8" t="s">
        <v>3</v>
      </c>
      <c r="E16" s="1"/>
    </row>
    <row r="17" spans="1:5" x14ac:dyDescent="0.25">
      <c r="A17" s="1"/>
      <c r="B17" s="43" t="s">
        <v>28</v>
      </c>
      <c r="C17" s="10">
        <f>SUM(C8,C11:C16)</f>
        <v>15865007.502385275</v>
      </c>
      <c r="D17" s="11" t="s">
        <v>3</v>
      </c>
      <c r="E17" s="1"/>
    </row>
    <row r="18" spans="1:5" x14ac:dyDescent="0.25">
      <c r="A18" s="1"/>
      <c r="B18" s="37" t="s">
        <v>17</v>
      </c>
      <c r="C18" s="38"/>
      <c r="D18" s="22"/>
      <c r="E18" s="1"/>
    </row>
    <row r="19" spans="1:5" ht="15" customHeight="1" x14ac:dyDescent="0.25">
      <c r="A19" s="1"/>
      <c r="B19" s="39" t="s">
        <v>17</v>
      </c>
      <c r="C19" s="10">
        <f>'Fane 6. Ikke-påvirkelige omk.'!C14*(1+'Fane 14. Nøgletal'!C12)^2</f>
        <v>25251618.666541975</v>
      </c>
      <c r="D19" s="11" t="s">
        <v>3</v>
      </c>
      <c r="E19" s="1"/>
    </row>
    <row r="20" spans="1:5" ht="15" customHeight="1" x14ac:dyDescent="0.25">
      <c r="A20" s="1"/>
      <c r="B20" s="37" t="s">
        <v>142</v>
      </c>
      <c r="C20" s="38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160</v>
      </c>
      <c r="C24" s="38"/>
      <c r="D24" s="22"/>
      <c r="E24" s="1"/>
    </row>
    <row r="25" spans="1:5" ht="15" customHeight="1" x14ac:dyDescent="0.25">
      <c r="A25" s="1"/>
      <c r="B25" s="43" t="s">
        <v>186</v>
      </c>
      <c r="C25" s="10">
        <f>'Fane 2.2. Økonomisk ramme 2021'!C26</f>
        <v>31098.633173199138</v>
      </c>
      <c r="D25" s="11" t="s">
        <v>3</v>
      </c>
      <c r="E25" s="1"/>
    </row>
    <row r="26" spans="1:5" x14ac:dyDescent="0.25">
      <c r="A26" s="1"/>
      <c r="B26" s="37" t="s">
        <v>45</v>
      </c>
      <c r="C26" s="12">
        <f>SUM(C17,C19,C23,C25)</f>
        <v>41147724.80210045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GJ4rPnHzUatdw2+GGLNCekJnTbdJ8PmgFexwAQ9aJcspwfpTVLilG3Ho4bIjp112CN8ngQ/W3lkCO4m4juqPw==" saltValue="sr8XenccJDhjBibHReC/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29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20</v>
      </c>
      <c r="C7" s="38"/>
      <c r="D7" s="22"/>
      <c r="E7" s="1"/>
    </row>
    <row r="8" spans="1:5" ht="15" customHeight="1" x14ac:dyDescent="0.25">
      <c r="A8" s="1"/>
      <c r="B8" s="42" t="s">
        <v>246</v>
      </c>
      <c r="C8" s="7">
        <f>'Fane 2.3. Økonomisk ramme 2022'!C17</f>
        <v>15865007.502385275</v>
      </c>
      <c r="D8" s="8" t="s">
        <v>3</v>
      </c>
      <c r="E8" s="1"/>
    </row>
    <row r="9" spans="1:5" ht="15" customHeight="1" x14ac:dyDescent="0.25">
      <c r="A9" s="1"/>
      <c r="B9" s="42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2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312540.64779698988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-166101.77181566742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-223554.86583017602</v>
      </c>
      <c r="D14" s="8" t="s">
        <v>3</v>
      </c>
      <c r="E14" s="1"/>
    </row>
    <row r="15" spans="1:5" x14ac:dyDescent="0.25">
      <c r="A15" s="1"/>
      <c r="B15" s="43" t="s">
        <v>28</v>
      </c>
      <c r="C15" s="10">
        <f>SUM(C8:C14)</f>
        <v>15787891.512536423</v>
      </c>
      <c r="D15" s="11" t="s">
        <v>3</v>
      </c>
      <c r="E15" s="1"/>
    </row>
    <row r="16" spans="1:5" x14ac:dyDescent="0.25">
      <c r="A16" s="1"/>
      <c r="B16" s="37" t="s">
        <v>17</v>
      </c>
      <c r="C16" s="38"/>
      <c r="D16" s="22"/>
      <c r="E16" s="1"/>
    </row>
    <row r="17" spans="1:5" ht="15" customHeight="1" x14ac:dyDescent="0.25">
      <c r="A17" s="1"/>
      <c r="B17" s="39" t="s">
        <v>17</v>
      </c>
      <c r="C17" s="10">
        <f>'Fane 6. Ikke-påvirkelige omk.'!C14*(1+'Fane 14. Nøgletal'!C12)^3</f>
        <v>25749075.554272849</v>
      </c>
      <c r="D17" s="11" t="s">
        <v>3</v>
      </c>
      <c r="E17" s="1"/>
    </row>
    <row r="18" spans="1:5" ht="15" customHeight="1" x14ac:dyDescent="0.25">
      <c r="A18" s="1"/>
      <c r="B18" s="37" t="s">
        <v>142</v>
      </c>
      <c r="C18" s="38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7" t="s">
        <v>160</v>
      </c>
      <c r="C22" s="38"/>
      <c r="D22" s="22"/>
      <c r="E22" s="1"/>
    </row>
    <row r="23" spans="1:5" ht="15" customHeight="1" x14ac:dyDescent="0.25">
      <c r="A23" s="1"/>
      <c r="B23" s="43" t="s">
        <v>188</v>
      </c>
      <c r="C23" s="10">
        <f>'Fane 7. Kontrol af ØR2018'!E39</f>
        <v>-197368.76601667516</v>
      </c>
      <c r="D23" s="11" t="s">
        <v>3</v>
      </c>
      <c r="E23" s="1"/>
    </row>
    <row r="24" spans="1:5" x14ac:dyDescent="0.25">
      <c r="A24" s="1"/>
      <c r="B24" s="37" t="s">
        <v>154</v>
      </c>
      <c r="C24" s="12">
        <f>SUM(C15,C17,C21,C23)</f>
        <v>41339598.300792597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eZPXdNDEY92884wfFguv2L0V0hUmKCxVvhwYznELmTsK/QHeEadwzBg90aCTT+vYhsLp2mkKypABpL5n62XxA==" saltValue="98l3yXWyAXsTfJSM9PwF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224</v>
      </c>
      <c r="C3" s="88"/>
      <c r="D3" s="88"/>
      <c r="E3" s="88"/>
      <c r="F3" s="88"/>
      <c r="G3" s="1"/>
    </row>
    <row r="4" spans="1:7" ht="29.2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84</v>
      </c>
      <c r="C8" s="38"/>
      <c r="D8" s="38"/>
      <c r="E8" s="38"/>
      <c r="F8" s="22"/>
      <c r="G8" s="1"/>
    </row>
    <row r="9" spans="1:7" x14ac:dyDescent="0.25">
      <c r="A9" s="1"/>
      <c r="B9" s="89" t="s">
        <v>81</v>
      </c>
      <c r="C9" s="90"/>
      <c r="D9" s="91"/>
      <c r="E9" s="7">
        <v>15191943.868933301</v>
      </c>
      <c r="F9" s="8" t="s">
        <v>3</v>
      </c>
      <c r="G9" s="1"/>
    </row>
    <row r="10" spans="1:7" x14ac:dyDescent="0.25">
      <c r="A10" s="1"/>
      <c r="B10" s="89" t="s">
        <v>82</v>
      </c>
      <c r="C10" s="90"/>
      <c r="D10" s="91"/>
      <c r="E10" s="7">
        <v>-630929.25602172397</v>
      </c>
      <c r="F10" s="8" t="s">
        <v>3</v>
      </c>
      <c r="G10" s="1"/>
    </row>
    <row r="11" spans="1:7" x14ac:dyDescent="0.25">
      <c r="A11" s="1"/>
      <c r="B11" s="89" t="s">
        <v>83</v>
      </c>
      <c r="C11" s="90"/>
      <c r="D11" s="91"/>
      <c r="E11" s="7">
        <v>58205.945880672436</v>
      </c>
      <c r="F11" s="8" t="s">
        <v>3</v>
      </c>
      <c r="G11" s="1"/>
    </row>
    <row r="12" spans="1:7" x14ac:dyDescent="0.25">
      <c r="A12" s="1"/>
      <c r="B12" s="76" t="s">
        <v>67</v>
      </c>
      <c r="C12" s="77"/>
      <c r="D12" s="78"/>
      <c r="E12" s="7">
        <v>0</v>
      </c>
      <c r="F12" s="8" t="s">
        <v>3</v>
      </c>
      <c r="G12" s="1"/>
    </row>
    <row r="13" spans="1:7" x14ac:dyDescent="0.25">
      <c r="A13" s="1"/>
      <c r="B13" s="76" t="s">
        <v>68</v>
      </c>
      <c r="C13" s="77"/>
      <c r="D13" s="78"/>
      <c r="E13" s="9">
        <v>21861.316199999997</v>
      </c>
      <c r="F13" s="8" t="s">
        <v>3</v>
      </c>
      <c r="G13" s="1"/>
    </row>
    <row r="14" spans="1:7" x14ac:dyDescent="0.25">
      <c r="A14" s="1"/>
      <c r="B14" s="76" t="s">
        <v>41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40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43</v>
      </c>
      <c r="C16" s="77"/>
      <c r="D16" s="78"/>
      <c r="E16" s="9">
        <v>0</v>
      </c>
      <c r="F16" s="8" t="s">
        <v>3</v>
      </c>
      <c r="G16" s="1"/>
    </row>
    <row r="17" spans="1:7" x14ac:dyDescent="0.25">
      <c r="A17" s="1"/>
      <c r="B17" s="76" t="s">
        <v>42</v>
      </c>
      <c r="C17" s="77"/>
      <c r="D17" s="78"/>
      <c r="E17" s="9">
        <v>0</v>
      </c>
      <c r="F17" s="8" t="s">
        <v>3</v>
      </c>
      <c r="G17" s="1"/>
    </row>
    <row r="18" spans="1:7" x14ac:dyDescent="0.25">
      <c r="A18" s="1"/>
      <c r="B18" s="76" t="s">
        <v>26</v>
      </c>
      <c r="C18" s="77"/>
      <c r="D18" s="78"/>
      <c r="E18" s="9">
        <f>SUM(E9:E17)*'Fane 14. Nøgletal'!C11</f>
        <v>247434.283687369</v>
      </c>
      <c r="F18" s="8" t="s">
        <v>3</v>
      </c>
      <c r="G18" s="1"/>
    </row>
    <row r="19" spans="1:7" x14ac:dyDescent="0.25">
      <c r="A19" s="1"/>
      <c r="B19" s="76" t="s">
        <v>10</v>
      </c>
      <c r="C19" s="77"/>
      <c r="D19" s="78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6" t="s">
        <v>38</v>
      </c>
      <c r="C20" s="77"/>
      <c r="D20" s="78"/>
      <c r="E20" s="9">
        <f>-'Fane 4.1. Gen. krav - drift'!G20</f>
        <v>-157004.54015304742</v>
      </c>
      <c r="F20" s="8" t="s">
        <v>3</v>
      </c>
      <c r="G20" s="1"/>
    </row>
    <row r="21" spans="1:7" x14ac:dyDescent="0.25">
      <c r="A21" s="1"/>
      <c r="B21" s="76" t="s">
        <v>39</v>
      </c>
      <c r="C21" s="77"/>
      <c r="D21" s="78"/>
      <c r="E21" s="9">
        <f>-'Fane 4.2. Gen. krav - anlæg'!G19</f>
        <v>-61226.548861131407</v>
      </c>
      <c r="F21" s="8" t="s">
        <v>3</v>
      </c>
      <c r="G21" s="1"/>
    </row>
    <row r="22" spans="1:7" x14ac:dyDescent="0.25">
      <c r="A22" s="1"/>
      <c r="B22" s="79" t="s">
        <v>28</v>
      </c>
      <c r="C22" s="80"/>
      <c r="D22" s="81"/>
      <c r="E22" s="10">
        <f>SUM(E9:E21)</f>
        <v>14670285.069665441</v>
      </c>
      <c r="F22" s="11" t="s">
        <v>3</v>
      </c>
      <c r="G22" s="1"/>
    </row>
    <row r="23" spans="1:7" x14ac:dyDescent="0.25">
      <c r="A23" s="1"/>
      <c r="B23" s="92" t="s">
        <v>17</v>
      </c>
      <c r="C23" s="93"/>
      <c r="D23" s="93"/>
      <c r="E23" s="38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24545101.538726833</v>
      </c>
      <c r="F24" s="11" t="s">
        <v>3</v>
      </c>
      <c r="G24" s="1"/>
    </row>
    <row r="25" spans="1:7" x14ac:dyDescent="0.25">
      <c r="A25" s="1"/>
      <c r="B25" s="37" t="s">
        <v>131</v>
      </c>
      <c r="C25" s="38"/>
      <c r="D25" s="38"/>
      <c r="E25" s="38"/>
      <c r="F25" s="22"/>
      <c r="G25" s="1"/>
    </row>
    <row r="26" spans="1:7" ht="27" customHeight="1" x14ac:dyDescent="0.25">
      <c r="A26" s="1"/>
      <c r="B26" s="85" t="s">
        <v>133</v>
      </c>
      <c r="C26" s="86"/>
      <c r="D26" s="87"/>
      <c r="E26" s="10">
        <v>110122.41619742967</v>
      </c>
      <c r="F26" s="11" t="s">
        <v>3</v>
      </c>
      <c r="G26" s="1"/>
    </row>
    <row r="27" spans="1:7" x14ac:dyDescent="0.25">
      <c r="A27" s="1"/>
      <c r="B27" s="37" t="s">
        <v>11</v>
      </c>
      <c r="C27" s="38"/>
      <c r="D27" s="38"/>
      <c r="E27" s="38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-1090845</v>
      </c>
      <c r="F28" s="11" t="s">
        <v>3</v>
      </c>
      <c r="G28" s="1"/>
    </row>
    <row r="29" spans="1:7" x14ac:dyDescent="0.25">
      <c r="A29" s="1"/>
      <c r="B29" s="37" t="s">
        <v>160</v>
      </c>
      <c r="C29" s="38"/>
      <c r="D29" s="38"/>
      <c r="E29" s="38"/>
      <c r="F29" s="22"/>
      <c r="G29" s="1"/>
    </row>
    <row r="30" spans="1:7" x14ac:dyDescent="0.25">
      <c r="A30" s="1"/>
      <c r="B30" s="82" t="s">
        <v>132</v>
      </c>
      <c r="C30" s="83"/>
      <c r="D30" s="84"/>
      <c r="E30" s="10">
        <v>37032.718887427429</v>
      </c>
      <c r="F30" s="11" t="s">
        <v>3</v>
      </c>
      <c r="G30" s="1"/>
    </row>
    <row r="31" spans="1:7" x14ac:dyDescent="0.25">
      <c r="A31" s="1"/>
      <c r="B31" s="37" t="s">
        <v>23</v>
      </c>
      <c r="C31" s="38"/>
      <c r="D31" s="38"/>
      <c r="E31" s="12">
        <f>SUM(E28,E26,E24,E22,E30)</f>
        <v>38271696.743477128</v>
      </c>
      <c r="F31" s="13" t="s">
        <v>3</v>
      </c>
      <c r="G31" s="1"/>
    </row>
    <row r="32" spans="1:7" ht="28.15" customHeight="1" x14ac:dyDescent="0.25">
      <c r="A32" s="1"/>
      <c r="B32" s="73" t="s">
        <v>187</v>
      </c>
      <c r="C32" s="74"/>
      <c r="D32" s="74"/>
      <c r="E32" s="74"/>
      <c r="F32" s="75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VrdN4qnDLjQqMqsmkyG74wiWsgr4pAWWPrCAorKT4CMh6/Y4R435kmR2pHGj2t4brpPht2JK7FKVt7u13oAMA==" saltValue="PKdQfGHEJ27Tr+A81sxBjg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1" t="s">
        <v>198</v>
      </c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94" t="s">
        <v>97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86</v>
      </c>
      <c r="C6" s="98"/>
      <c r="D6" s="98"/>
      <c r="E6" s="98"/>
      <c r="F6" s="99"/>
      <c r="G6" s="26">
        <v>8585973</v>
      </c>
      <c r="H6" s="14" t="s">
        <v>3</v>
      </c>
      <c r="I6" s="1"/>
    </row>
    <row r="7" spans="1:9" x14ac:dyDescent="0.25">
      <c r="A7" s="1"/>
      <c r="B7" s="97" t="s">
        <v>87</v>
      </c>
      <c r="C7" s="98"/>
      <c r="D7" s="98"/>
      <c r="E7" s="98"/>
      <c r="F7" s="99"/>
      <c r="G7" s="26">
        <f>G6*'Fane 14. Nøgletal'!C25</f>
        <v>171719.46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98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88</v>
      </c>
      <c r="C11" s="98"/>
      <c r="D11" s="98"/>
      <c r="E11" s="98"/>
      <c r="F11" s="99"/>
      <c r="G11" s="26">
        <f>(G6-G7)*(1+'Fane 14. Nøgletal'!C9)</f>
        <v>8521114.5599579979</v>
      </c>
      <c r="H11" s="14" t="s">
        <v>3</v>
      </c>
      <c r="I11" s="1"/>
    </row>
    <row r="12" spans="1:9" x14ac:dyDescent="0.25">
      <c r="A12" s="1"/>
      <c r="B12" s="100" t="s">
        <v>89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90</v>
      </c>
      <c r="C13" s="98"/>
      <c r="D13" s="98"/>
      <c r="E13" s="98"/>
      <c r="F13" s="99"/>
      <c r="G13" s="26">
        <f>(G11+G12)*'Fane 14. Nøgletal'!C25</f>
        <v>170422.29119915995</v>
      </c>
      <c r="H13" s="14" t="s">
        <v>3</v>
      </c>
      <c r="I13" s="1"/>
    </row>
    <row r="14" spans="1:9" x14ac:dyDescent="0.25">
      <c r="A14" s="1"/>
      <c r="B14" s="37"/>
      <c r="C14" s="38"/>
      <c r="D14" s="38"/>
      <c r="E14" s="38"/>
      <c r="F14" s="38"/>
      <c r="G14" s="38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99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91</v>
      </c>
      <c r="C17" s="98"/>
      <c r="D17" s="98"/>
      <c r="E17" s="98"/>
      <c r="F17" s="99"/>
      <c r="G17" s="26">
        <f>(G11+G12-G13)*(1+'Fane 14. Nøgletal'!C11)</f>
        <v>8491818.9681008626</v>
      </c>
      <c r="H17" s="14" t="s">
        <v>3</v>
      </c>
      <c r="I17" s="1"/>
    </row>
    <row r="18" spans="1:9" x14ac:dyDescent="0.25">
      <c r="A18" s="1"/>
      <c r="B18" s="97" t="s">
        <v>225</v>
      </c>
      <c r="C18" s="98"/>
      <c r="D18" s="98"/>
      <c r="E18" s="98"/>
      <c r="F18" s="99"/>
      <c r="G18" s="26">
        <v>-641591.96044849104</v>
      </c>
      <c r="H18" s="14" t="s">
        <v>3</v>
      </c>
      <c r="I18" s="1"/>
    </row>
    <row r="19" spans="1:9" x14ac:dyDescent="0.25">
      <c r="A19" s="1"/>
      <c r="B19" s="100" t="s">
        <v>92</v>
      </c>
      <c r="C19" s="101"/>
      <c r="D19" s="101"/>
      <c r="E19" s="101"/>
      <c r="F19" s="102"/>
      <c r="G19" s="26">
        <v>0</v>
      </c>
      <c r="H19" s="14" t="s">
        <v>3</v>
      </c>
      <c r="I19" s="1"/>
    </row>
    <row r="20" spans="1:9" x14ac:dyDescent="0.25">
      <c r="A20" s="1"/>
      <c r="B20" s="97" t="s">
        <v>93</v>
      </c>
      <c r="C20" s="98"/>
      <c r="D20" s="98"/>
      <c r="E20" s="98"/>
      <c r="F20" s="99"/>
      <c r="G20" s="26">
        <f>SUM(G17:G19)*'Fane 14. Nøgletal'!C25</f>
        <v>157004.54015304742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4" t="s">
        <v>100</v>
      </c>
      <c r="C23" s="95"/>
      <c r="D23" s="95"/>
      <c r="E23" s="95"/>
      <c r="F23" s="95"/>
      <c r="G23" s="95"/>
      <c r="H23" s="96"/>
      <c r="I23" s="1"/>
    </row>
    <row r="24" spans="1:9" x14ac:dyDescent="0.25">
      <c r="A24" s="1"/>
      <c r="B24" s="97" t="s">
        <v>94</v>
      </c>
      <c r="C24" s="98"/>
      <c r="D24" s="98"/>
      <c r="E24" s="98"/>
      <c r="F24" s="99"/>
      <c r="G24" s="26">
        <f>(G17+G18+G19-G20)*(1+'Fane 14. Nøgletal'!C11)</f>
        <v>7823237.9272000622</v>
      </c>
      <c r="H24" s="14" t="s">
        <v>3</v>
      </c>
      <c r="I24" s="1"/>
    </row>
    <row r="25" spans="1:9" x14ac:dyDescent="0.25">
      <c r="A25" s="1"/>
      <c r="B25" s="100" t="s">
        <v>95</v>
      </c>
      <c r="C25" s="101"/>
      <c r="D25" s="101"/>
      <c r="E25" s="101"/>
      <c r="F25" s="102"/>
      <c r="G25" s="26">
        <f>('Fane 2.1. Økonomisk ramme 2020'!C10+'Fane 2.1. Økonomisk ramme 2020'!C12+'Fane 2.1. Økonomisk ramme 2020'!C14)*(1+'Fane 14. Nøgletal'!C12)</f>
        <v>542070.64538352005</v>
      </c>
      <c r="H25" s="14" t="s">
        <v>3</v>
      </c>
      <c r="I25" s="1"/>
    </row>
    <row r="26" spans="1:9" x14ac:dyDescent="0.25">
      <c r="A26" s="1"/>
      <c r="B26" s="97" t="s">
        <v>96</v>
      </c>
      <c r="C26" s="98"/>
      <c r="D26" s="98"/>
      <c r="E26" s="98"/>
      <c r="F26" s="99"/>
      <c r="G26" s="26">
        <f>(G24+G25)*'Fane 14. Nøgletal'!C25</f>
        <v>167306.17145167166</v>
      </c>
      <c r="H26" s="14" t="s">
        <v>3</v>
      </c>
      <c r="I26" s="1"/>
    </row>
    <row r="27" spans="1:9" x14ac:dyDescent="0.25">
      <c r="A27" s="1"/>
      <c r="B27" s="37"/>
      <c r="C27" s="38"/>
      <c r="D27" s="38"/>
      <c r="E27" s="38"/>
      <c r="F27" s="38"/>
      <c r="G27" s="38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4" t="s">
        <v>103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97" t="s">
        <v>104</v>
      </c>
      <c r="C30" s="98"/>
      <c r="D30" s="98"/>
      <c r="E30" s="98"/>
      <c r="F30" s="99"/>
      <c r="G30" s="26">
        <f>G24*(1-'Fane 14. Nøgletal'!C25)*(1+'Fane 14. Nøgletal'!C11)+G25*(1-'Fane 14. Nøgletal'!C25)*(1+'Fane 14. Nøgletal'!C12)</f>
        <v>8338036.0835619718</v>
      </c>
      <c r="H30" s="14" t="s">
        <v>3</v>
      </c>
      <c r="I30" s="1"/>
    </row>
    <row r="31" spans="1:9" x14ac:dyDescent="0.25">
      <c r="A31" s="1"/>
      <c r="B31" s="103" t="s">
        <v>218</v>
      </c>
      <c r="C31" s="104"/>
      <c r="D31" s="104"/>
      <c r="E31" s="104"/>
      <c r="F31" s="105"/>
      <c r="G31" s="26">
        <f>G25*(1-'Fane 14. Nøgletal'!C25)*(1+'Fane 14. Nøgletal'!C12)</f>
        <v>541694.44835562399</v>
      </c>
      <c r="H31" s="14" t="s">
        <v>3</v>
      </c>
      <c r="I31" s="1"/>
    </row>
    <row r="32" spans="1:9" x14ac:dyDescent="0.25">
      <c r="A32" s="1"/>
      <c r="B32" s="97" t="s">
        <v>145</v>
      </c>
      <c r="C32" s="98"/>
      <c r="D32" s="98"/>
      <c r="E32" s="98"/>
      <c r="F32" s="99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7" t="s">
        <v>105</v>
      </c>
      <c r="C33" s="98"/>
      <c r="D33" s="98"/>
      <c r="E33" s="98"/>
      <c r="F33" s="99"/>
      <c r="G33" s="26">
        <f>(G30+G32)*'Fane 14. Nøgletal'!C25</f>
        <v>166760.72167123944</v>
      </c>
      <c r="H33" s="14" t="s">
        <v>3</v>
      </c>
      <c r="I33" s="1"/>
    </row>
    <row r="34" spans="1:9" x14ac:dyDescent="0.25">
      <c r="A34" s="1"/>
      <c r="B34" s="37"/>
      <c r="C34" s="38"/>
      <c r="D34" s="38"/>
      <c r="E34" s="38"/>
      <c r="F34" s="38"/>
      <c r="G34" s="38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193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97" t="s">
        <v>128</v>
      </c>
      <c r="C37" s="98"/>
      <c r="D37" s="98"/>
      <c r="E37" s="98"/>
      <c r="F37" s="99"/>
      <c r="G37" s="26">
        <f>(G30-G31)*(1-'Fane 14. Nøgletal'!C25)*(1+'Fane 14. Nøgletal'!C11)+(G31+G32)*(1-'Fane 14. Nøgletal'!C25)*(1+'Fane 14. Nøgletal'!C12)</f>
        <v>8310856.3250729721</v>
      </c>
      <c r="H37" s="14" t="s">
        <v>3</v>
      </c>
      <c r="I37" s="1"/>
    </row>
    <row r="38" spans="1:9" x14ac:dyDescent="0.25">
      <c r="A38" s="1"/>
      <c r="B38" s="103" t="s">
        <v>218</v>
      </c>
      <c r="C38" s="104"/>
      <c r="D38" s="104"/>
      <c r="E38" s="104"/>
      <c r="F38" s="105"/>
      <c r="G38" s="26">
        <f>G31*(1-'Fane 14. Nøgletal'!C25)*(1+'Fane 14. Nøgletal'!C12)</f>
        <v>541318.51240846515</v>
      </c>
      <c r="H38" s="14" t="s">
        <v>3</v>
      </c>
      <c r="I38" s="1"/>
    </row>
    <row r="39" spans="1:9" x14ac:dyDescent="0.25">
      <c r="A39" s="1"/>
      <c r="B39" s="103" t="s">
        <v>219</v>
      </c>
      <c r="C39" s="98"/>
      <c r="D39" s="98"/>
      <c r="E39" s="98"/>
      <c r="F39" s="99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7" t="s">
        <v>146</v>
      </c>
      <c r="C40" s="98"/>
      <c r="D40" s="98"/>
      <c r="E40" s="98"/>
      <c r="F40" s="99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7" t="s">
        <v>220</v>
      </c>
      <c r="C41" s="98"/>
      <c r="D41" s="98"/>
      <c r="E41" s="98"/>
      <c r="F41" s="99"/>
      <c r="G41" s="26">
        <f>(G37+G40)*'Fane 14. Nøgletal'!C25</f>
        <v>166217.12650145945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4" t="s">
        <v>129</v>
      </c>
      <c r="C44" s="95"/>
      <c r="D44" s="95"/>
      <c r="E44" s="95"/>
      <c r="F44" s="95"/>
      <c r="G44" s="95"/>
      <c r="H44" s="96"/>
      <c r="I44" s="1"/>
    </row>
    <row r="45" spans="1:9" x14ac:dyDescent="0.25">
      <c r="A45" s="1"/>
      <c r="B45" s="97" t="s">
        <v>127</v>
      </c>
      <c r="C45" s="98"/>
      <c r="D45" s="98"/>
      <c r="E45" s="98"/>
      <c r="F45" s="99"/>
      <c r="G45" s="26">
        <f>(G37-G41)*(1+'Fane 14. Nøgletal'!C12)</f>
        <v>8305088.5907833716</v>
      </c>
      <c r="H45" s="14" t="s">
        <v>3</v>
      </c>
      <c r="I45" s="1"/>
    </row>
    <row r="46" spans="1:9" x14ac:dyDescent="0.25">
      <c r="A46" s="1"/>
      <c r="B46" s="97" t="s">
        <v>147</v>
      </c>
      <c r="C46" s="98"/>
      <c r="D46" s="98"/>
      <c r="E46" s="98"/>
      <c r="F46" s="99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7" t="s">
        <v>106</v>
      </c>
      <c r="C47" s="98"/>
      <c r="D47" s="98"/>
      <c r="E47" s="98"/>
      <c r="F47" s="99"/>
      <c r="G47" s="26">
        <f>(G45+G46)*'Fane 14. Nøgletal'!C25</f>
        <v>166101.77181566742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GnZ/2AcPhGSRAppOVC2Uz5Z2zvLMKNloQaYr9CtMpG+pc5ZIyYSPqyXDg4AeEQm0Q0XKDV2tZGi3tl/+RzgbA==" saltValue="GC1fXws+XbDOX4Wr30kSDg==" spinCount="100000" sheet="1" objects="1" scenarios="1"/>
  <mergeCells count="32"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  <mergeCell ref="B16:H16"/>
    <mergeCell ref="B23:H23"/>
    <mergeCell ref="B12:F12"/>
    <mergeCell ref="B13:F13"/>
    <mergeCell ref="B17:F17"/>
    <mergeCell ref="B19:F19"/>
    <mergeCell ref="B18:F18"/>
    <mergeCell ref="B44:H44"/>
    <mergeCell ref="B45:F45"/>
    <mergeCell ref="B47:F47"/>
    <mergeCell ref="B40:F40"/>
    <mergeCell ref="B46:F46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199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4" t="s">
        <v>101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107</v>
      </c>
      <c r="C5" s="98"/>
      <c r="D5" s="98"/>
      <c r="E5" s="98"/>
      <c r="F5" s="99"/>
      <c r="G5" s="26">
        <v>6879359</v>
      </c>
      <c r="H5" s="14" t="s">
        <v>3</v>
      </c>
      <c r="I5" s="1"/>
    </row>
    <row r="6" spans="1:9" x14ac:dyDescent="0.25">
      <c r="A6" s="1"/>
      <c r="B6" s="97" t="s">
        <v>102</v>
      </c>
      <c r="C6" s="98"/>
      <c r="D6" s="98"/>
      <c r="E6" s="98"/>
      <c r="F6" s="99"/>
      <c r="G6" s="26">
        <f>G5*'Fane 14. Nøgletal'!C17</f>
        <v>62602.166900000004</v>
      </c>
      <c r="H6" s="14" t="s">
        <v>3</v>
      </c>
      <c r="I6" s="1"/>
    </row>
    <row r="7" spans="1:9" x14ac:dyDescent="0.25">
      <c r="A7" s="1"/>
      <c r="B7" s="37"/>
      <c r="C7" s="38"/>
      <c r="D7" s="38"/>
      <c r="E7" s="38"/>
      <c r="F7" s="38"/>
      <c r="G7" s="38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108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109</v>
      </c>
      <c r="C10" s="98"/>
      <c r="D10" s="98"/>
      <c r="E10" s="98"/>
      <c r="F10" s="99"/>
      <c r="G10" s="26">
        <f>(G5-G6)*(1+'Fane 14. Nøgletal'!C9)</f>
        <v>6903329.6448803702</v>
      </c>
      <c r="H10" s="14" t="s">
        <v>3</v>
      </c>
      <c r="I10" s="1"/>
    </row>
    <row r="11" spans="1:9" x14ac:dyDescent="0.25">
      <c r="A11" s="1"/>
      <c r="B11" s="100" t="s">
        <v>110</v>
      </c>
      <c r="C11" s="101"/>
      <c r="D11" s="101"/>
      <c r="E11" s="101"/>
      <c r="F11" s="102"/>
      <c r="G11" s="26">
        <v>0</v>
      </c>
      <c r="H11" s="14" t="s">
        <v>3</v>
      </c>
      <c r="I11" s="1"/>
    </row>
    <row r="12" spans="1:9" x14ac:dyDescent="0.25">
      <c r="A12" s="1"/>
      <c r="B12" s="97" t="s">
        <v>111</v>
      </c>
      <c r="C12" s="98"/>
      <c r="D12" s="98"/>
      <c r="E12" s="98"/>
      <c r="F12" s="99"/>
      <c r="G12" s="26">
        <f>G10*'Fane 14. Nøgletal'!C17+G11*'Fane 14. Nøgletal'!C18</f>
        <v>62820.299768411372</v>
      </c>
      <c r="H12" s="14" t="s">
        <v>3</v>
      </c>
      <c r="I12" s="1"/>
    </row>
    <row r="13" spans="1:9" x14ac:dyDescent="0.25">
      <c r="A13" s="1"/>
      <c r="B13" s="37"/>
      <c r="C13" s="38"/>
      <c r="D13" s="38"/>
      <c r="E13" s="38"/>
      <c r="F13" s="38"/>
      <c r="G13" s="38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112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113</v>
      </c>
      <c r="C16" s="98"/>
      <c r="D16" s="98"/>
      <c r="E16" s="98"/>
      <c r="F16" s="99"/>
      <c r="G16" s="26">
        <f>(G10+G11-G12)*(1+'Fane 14. Nøgletal'!C11)</f>
        <v>6956113.9530443503</v>
      </c>
      <c r="H16" s="14" t="s">
        <v>3</v>
      </c>
      <c r="I16" s="1"/>
    </row>
    <row r="17" spans="1:9" x14ac:dyDescent="0.25">
      <c r="A17" s="1"/>
      <c r="B17" s="97" t="s">
        <v>226</v>
      </c>
      <c r="C17" s="98"/>
      <c r="D17" s="98"/>
      <c r="E17" s="98"/>
      <c r="F17" s="99"/>
      <c r="G17" s="26">
        <v>59189.626366055796</v>
      </c>
      <c r="H17" s="14" t="s">
        <v>3</v>
      </c>
      <c r="I17" s="1"/>
    </row>
    <row r="18" spans="1:9" x14ac:dyDescent="0.25">
      <c r="A18" s="1"/>
      <c r="B18" s="100" t="s">
        <v>114</v>
      </c>
      <c r="C18" s="101"/>
      <c r="D18" s="101"/>
      <c r="E18" s="101"/>
      <c r="F18" s="102"/>
      <c r="G18" s="26">
        <v>22230.772443779995</v>
      </c>
      <c r="H18" s="14" t="s">
        <v>3</v>
      </c>
      <c r="I18" s="1"/>
    </row>
    <row r="19" spans="1:9" x14ac:dyDescent="0.25">
      <c r="A19" s="1"/>
      <c r="B19" s="97" t="s">
        <v>115</v>
      </c>
      <c r="C19" s="98"/>
      <c r="D19" s="98"/>
      <c r="E19" s="98"/>
      <c r="F19" s="99"/>
      <c r="G19" s="26">
        <f>SUM(G16:G18)*'Fane 14. Nøgletal'!C19</f>
        <v>61226.548861131407</v>
      </c>
      <c r="H19" s="14" t="s">
        <v>3</v>
      </c>
      <c r="I19" s="1"/>
    </row>
    <row r="20" spans="1:9" x14ac:dyDescent="0.25">
      <c r="A20" s="1"/>
      <c r="B20" s="37"/>
      <c r="C20" s="38"/>
      <c r="D20" s="38"/>
      <c r="E20" s="38"/>
      <c r="F20" s="38"/>
      <c r="G20" s="38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116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117</v>
      </c>
      <c r="C23" s="98"/>
      <c r="D23" s="98"/>
      <c r="E23" s="98"/>
      <c r="F23" s="99"/>
      <c r="G23" s="26">
        <f>(G16+G17+G18-G19)*(1+'Fane 14. Nøgletal'!C11)</f>
        <v>7094207.4048636369</v>
      </c>
      <c r="H23" s="14" t="s">
        <v>3</v>
      </c>
      <c r="I23" s="1"/>
    </row>
    <row r="24" spans="1:9" x14ac:dyDescent="0.25">
      <c r="A24" s="1"/>
      <c r="B24" s="100" t="s">
        <v>118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14. Nøgletal'!C12)</f>
        <v>601207.65719298902</v>
      </c>
      <c r="H24" s="14" t="s">
        <v>3</v>
      </c>
      <c r="I24" s="1"/>
    </row>
    <row r="25" spans="1:9" x14ac:dyDescent="0.25">
      <c r="A25" s="1"/>
      <c r="B25" s="97" t="s">
        <v>119</v>
      </c>
      <c r="C25" s="98"/>
      <c r="D25" s="98"/>
      <c r="E25" s="98"/>
      <c r="F25" s="99"/>
      <c r="G25" s="26">
        <f>G23*'Fane 14. Nøgletal'!C19+G24*'Fane 14. Nøgletal'!C20</f>
        <v>78793.901886594525</v>
      </c>
      <c r="H25" s="14" t="s">
        <v>3</v>
      </c>
      <c r="I25" s="1"/>
    </row>
    <row r="26" spans="1:9" x14ac:dyDescent="0.25">
      <c r="A26" s="1"/>
      <c r="B26" s="37"/>
      <c r="C26" s="38"/>
      <c r="D26" s="38"/>
      <c r="E26" s="38"/>
      <c r="F26" s="38"/>
      <c r="G26" s="38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121</v>
      </c>
      <c r="C29" s="98"/>
      <c r="D29" s="98"/>
      <c r="E29" s="98"/>
      <c r="F29" s="99"/>
      <c r="G29" s="26">
        <f>G23*(1-'Fane 14. Nøgletal'!C19)*(1+'Fane 14. Nøgletal'!C11)+G24*(1-'Fane 14. Nøgletal'!C20)*(1+'Fane 14. Nøgletal'!C12)</f>
        <v>7746977.6311841439</v>
      </c>
      <c r="H29" s="14" t="s">
        <v>3</v>
      </c>
      <c r="I29" s="1"/>
    </row>
    <row r="30" spans="1:9" x14ac:dyDescent="0.25">
      <c r="A30" s="1"/>
      <c r="B30" s="103" t="s">
        <v>221</v>
      </c>
      <c r="C30" s="104"/>
      <c r="D30" s="104"/>
      <c r="E30" s="104"/>
      <c r="F30" s="105"/>
      <c r="G30" s="26">
        <f>G24*(1-'Fane 14. Nøgletal'!C20)*(1+'Fane 14. Nøgletal'!C12)</f>
        <v>595640.78691536374</v>
      </c>
      <c r="H30" s="14" t="s">
        <v>3</v>
      </c>
      <c r="I30" s="1"/>
    </row>
    <row r="31" spans="1:9" x14ac:dyDescent="0.25">
      <c r="A31" s="1"/>
      <c r="B31" s="97" t="s">
        <v>151</v>
      </c>
      <c r="C31" s="98"/>
      <c r="D31" s="98"/>
      <c r="E31" s="98"/>
      <c r="F31" s="99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7" t="s">
        <v>122</v>
      </c>
      <c r="C32" s="98"/>
      <c r="D32" s="98"/>
      <c r="E32" s="98"/>
      <c r="F32" s="99"/>
      <c r="G32" s="26">
        <f>(G29-G30)*'Fane 14. Nøgletal'!C19+(G30+G31)*'Fane 14. Nøgletal'!C20</f>
        <v>79132.828893534708</v>
      </c>
      <c r="H32" s="14" t="s">
        <v>3</v>
      </c>
      <c r="I32" s="1"/>
    </row>
    <row r="33" spans="1:9" x14ac:dyDescent="0.25">
      <c r="A33" s="1"/>
      <c r="B33" s="37"/>
      <c r="C33" s="38"/>
      <c r="D33" s="38"/>
      <c r="E33" s="38"/>
      <c r="F33" s="38"/>
      <c r="G33" s="38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4" t="s">
        <v>192</v>
      </c>
      <c r="C35" s="95"/>
      <c r="D35" s="95"/>
      <c r="E35" s="95"/>
      <c r="F35" s="95"/>
      <c r="G35" s="95"/>
      <c r="H35" s="96"/>
      <c r="I35" s="1"/>
    </row>
    <row r="36" spans="1:9" x14ac:dyDescent="0.25">
      <c r="A36" s="1"/>
      <c r="B36" s="97" t="s">
        <v>126</v>
      </c>
      <c r="C36" s="98"/>
      <c r="D36" s="98"/>
      <c r="E36" s="98"/>
      <c r="F36" s="99"/>
      <c r="G36" s="26">
        <f>(G29-G30)*(1-'Fane 14. Nøgletal'!C19)*(1+'Fane 14. Nøgletal'!C11)+(G30+G31)*(1-'Fane 14. Nøgletal'!C20)*(1+'Fane 14. Nøgletal'!C12)</f>
        <v>7799051.8082973082</v>
      </c>
      <c r="H36" s="14" t="s">
        <v>3</v>
      </c>
      <c r="I36" s="1"/>
    </row>
    <row r="37" spans="1:9" x14ac:dyDescent="0.25">
      <c r="A37" s="1"/>
      <c r="B37" s="103" t="s">
        <v>221</v>
      </c>
      <c r="C37" s="104"/>
      <c r="D37" s="104"/>
      <c r="E37" s="104"/>
      <c r="F37" s="105"/>
      <c r="G37" s="26">
        <f>G30*(1-'Fane 14. Nøgletal'!C20)*(1+'Fane 14. Nøgletal'!C12)</f>
        <v>590125.46296173672</v>
      </c>
      <c r="H37" s="14" t="s">
        <v>3</v>
      </c>
      <c r="I37" s="1"/>
    </row>
    <row r="38" spans="1:9" x14ac:dyDescent="0.25">
      <c r="A38" s="1"/>
      <c r="B38" s="103" t="s">
        <v>222</v>
      </c>
      <c r="C38" s="104"/>
      <c r="D38" s="104"/>
      <c r="E38" s="104"/>
      <c r="F38" s="105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7" t="s">
        <v>152</v>
      </c>
      <c r="C39" s="98"/>
      <c r="D39" s="98"/>
      <c r="E39" s="98"/>
      <c r="F39" s="99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7" t="s">
        <v>123</v>
      </c>
      <c r="C40" s="98"/>
      <c r="D40" s="98"/>
      <c r="E40" s="98"/>
      <c r="F40" s="99"/>
      <c r="G40" s="26">
        <f>(G36-SUM(G37:G38))*'Fane 14. Nøgletal'!C19+SUM(G37:G38)*'Fane 14. Nøgletal'!C20</f>
        <v>79477.222352532786</v>
      </c>
      <c r="H40" s="14" t="s">
        <v>3</v>
      </c>
      <c r="I40" s="1"/>
    </row>
    <row r="41" spans="1:9" x14ac:dyDescent="0.25">
      <c r="A41" s="1"/>
      <c r="B41" s="37"/>
      <c r="C41" s="38"/>
      <c r="D41" s="38"/>
      <c r="E41" s="38"/>
      <c r="F41" s="38"/>
      <c r="G41" s="38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130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(G36-G40)*(1+'Fane 14. Nøgletal'!C12)</f>
        <v>7871650.2052878877</v>
      </c>
      <c r="H44" s="14" t="s">
        <v>3</v>
      </c>
      <c r="I44" s="1"/>
    </row>
    <row r="45" spans="1:9" x14ac:dyDescent="0.25">
      <c r="A45" s="1"/>
      <c r="B45" s="97" t="s">
        <v>153</v>
      </c>
      <c r="C45" s="98"/>
      <c r="D45" s="98"/>
      <c r="E45" s="98"/>
      <c r="F45" s="99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7" t="s">
        <v>124</v>
      </c>
      <c r="C46" s="98"/>
      <c r="D46" s="98"/>
      <c r="E46" s="98"/>
      <c r="F46" s="99"/>
      <c r="G46" s="26">
        <f>(G44+G45)*'Fane 14. Nøgletal'!C20</f>
        <v>223554.86583017602</v>
      </c>
      <c r="H46" s="14" t="s">
        <v>3</v>
      </c>
      <c r="I46" s="1"/>
    </row>
    <row r="47" spans="1:9" x14ac:dyDescent="0.25">
      <c r="A47" s="1"/>
      <c r="B47" s="37"/>
      <c r="C47" s="38"/>
      <c r="D47" s="38"/>
      <c r="E47" s="38"/>
      <c r="F47" s="38"/>
      <c r="G47" s="38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W4rU6P8RHSP/DrO9ymydTtfJQ7WJNM96Aj4gWGB4GW7tNZgZ50UNT80RisR3TpQFpN7FkUviWq8rJtBkaf+0g==" saltValue="tVNdr8BZ81jExLh3q3WYCQ==" spinCount="100000" sheet="1" objects="1" scenarios="1"/>
  <mergeCells count="32"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144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177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191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E24Y/ibbXzTTASgu9s/jew39yJpK5/PiuFToqFadCQ0aN+Aq7J30CvpqWsSmMh/6o5iXV6qe9Nhg+6KSATxUA==" saltValue="x8tGXKdUhgv6gb54egJxK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2019-09-12T11:34:35Z</dcterms:modified>
</cp:coreProperties>
</file>