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lborg Vand AS (V21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8" i="32" l="1"/>
  <c r="G7" i="30" l="1"/>
  <c r="E9" i="32" l="1"/>
  <c r="E32" i="32" s="1"/>
  <c r="E9" i="40" l="1"/>
  <c r="E10" i="40" s="1"/>
  <c r="C32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1" i="36" l="1"/>
  <c r="G38" i="36" s="1"/>
  <c r="C13" i="15"/>
  <c r="G32" i="30"/>
  <c r="G39" i="30" s="1"/>
  <c r="C12" i="15"/>
  <c r="G40" i="30"/>
  <c r="C11" i="22"/>
  <c r="G39" i="36"/>
  <c r="C12" i="22"/>
  <c r="G45" i="36"/>
  <c r="C10" i="23"/>
  <c r="C9" i="23"/>
  <c r="G46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14" i="39" s="1"/>
  <c r="C25" i="2" s="1"/>
  <c r="E29" i="39"/>
  <c r="E28" i="39"/>
  <c r="C21" i="39"/>
  <c r="C20" i="39"/>
  <c r="C22" i="39" s="1"/>
  <c r="C22" i="15" s="1"/>
  <c r="C37" i="39"/>
  <c r="C36" i="39"/>
  <c r="E21" i="39"/>
  <c r="E20" i="39"/>
  <c r="E22" i="39" s="1"/>
  <c r="C23" i="15" s="1"/>
  <c r="E37" i="39"/>
  <c r="E36" i="39"/>
  <c r="E38" i="39" l="1"/>
  <c r="C20" i="23" s="1"/>
  <c r="C38" i="39"/>
  <c r="C19" i="23" s="1"/>
  <c r="E30" i="39"/>
  <c r="C22" i="22" s="1"/>
  <c r="C30" i="39"/>
  <c r="C21" i="22" s="1"/>
  <c r="C14" i="39"/>
  <c r="C24" i="2" s="1"/>
  <c r="G12" i="10"/>
  <c r="G14" i="10" s="1"/>
  <c r="C21" i="23" l="1"/>
  <c r="C23" i="22"/>
  <c r="C24" i="15"/>
  <c r="C26" i="2"/>
  <c r="G6" i="36" l="1"/>
  <c r="G10" i="36" l="1"/>
  <c r="G11" i="30"/>
  <c r="G13" i="30" s="1"/>
  <c r="G12" i="36" l="1"/>
  <c r="G16" i="36" s="1"/>
  <c r="G19" i="36" l="1"/>
  <c r="G23" i="36" s="1"/>
  <c r="G17" i="30"/>
  <c r="G20" i="30" l="1"/>
  <c r="G24" i="30" s="1"/>
  <c r="E21" i="27"/>
  <c r="E20" i="27" l="1"/>
  <c r="E18" i="27" l="1"/>
  <c r="E27" i="32" l="1"/>
  <c r="E37" i="32" s="1"/>
  <c r="E39" i="32" l="1"/>
  <c r="C23" i="23" s="1"/>
  <c r="C30" i="2"/>
  <c r="C26" i="15" l="1"/>
  <c r="C25" i="22" s="1"/>
  <c r="F11" i="11"/>
  <c r="C10" i="37" s="1"/>
  <c r="C11" i="37" s="1"/>
  <c r="C12" i="37" s="1"/>
  <c r="C10" i="2" s="1"/>
  <c r="G11" i="11"/>
  <c r="E11" i="21" l="1"/>
  <c r="C11" i="21"/>
  <c r="E11" i="29"/>
  <c r="C11" i="29"/>
  <c r="C17" i="19"/>
  <c r="C18" i="19" s="1"/>
  <c r="C12" i="29" l="1"/>
  <c r="C14" i="2" s="1"/>
  <c r="E12" i="29"/>
  <c r="C15" i="2" s="1"/>
  <c r="C17" i="23"/>
  <c r="C19" i="22"/>
  <c r="C20" i="15"/>
  <c r="C22" i="2"/>
  <c r="E12" i="21"/>
  <c r="C13" i="2" s="1"/>
  <c r="C12" i="21"/>
  <c r="C12" i="2" s="1"/>
  <c r="C10" i="15" l="1"/>
  <c r="C9" i="22" s="1"/>
  <c r="G25" i="30"/>
  <c r="G31" i="30" s="1"/>
  <c r="G38" i="30" s="1"/>
  <c r="G26" i="30" l="1"/>
  <c r="C18" i="2" s="1"/>
  <c r="G30" i="30"/>
  <c r="G37" i="30" s="1"/>
  <c r="G33" i="30" l="1"/>
  <c r="E11" i="11"/>
  <c r="E10" i="37" s="1"/>
  <c r="E11" i="37" s="1"/>
  <c r="E12" i="37" s="1"/>
  <c r="C11" i="2" s="1"/>
  <c r="C11" i="15" s="1"/>
  <c r="C10" i="22" s="1"/>
  <c r="C28" i="2"/>
  <c r="G24" i="36" l="1"/>
  <c r="C16" i="15"/>
  <c r="G25" i="36" l="1"/>
  <c r="G30" i="36"/>
  <c r="G37" i="36" s="1"/>
  <c r="G29" i="36"/>
  <c r="G41" i="30"/>
  <c r="G32" i="36" l="1"/>
  <c r="G36" i="36"/>
  <c r="G40" i="36" s="1"/>
  <c r="C15" i="22"/>
  <c r="G45" i="30" l="1"/>
  <c r="C19" i="2"/>
  <c r="G47" i="30" l="1"/>
  <c r="C13" i="23" s="1"/>
  <c r="C17" i="15" l="1"/>
  <c r="C16" i="22"/>
  <c r="G44" i="36" l="1"/>
  <c r="G46" i="36" s="1"/>
  <c r="C14" i="23" l="1"/>
  <c r="E19" i="27"/>
  <c r="E22" i="27" s="1"/>
  <c r="E31" i="27" l="1"/>
  <c r="C9" i="2"/>
  <c r="C16" i="2" s="1"/>
  <c r="C17" i="2" l="1"/>
  <c r="C20" i="2" s="1"/>
  <c r="C33" i="2" s="1"/>
  <c r="C9" i="15" l="1"/>
  <c r="C14" i="15" l="1"/>
  <c r="C15" i="15" s="1"/>
  <c r="C18" i="15" s="1"/>
  <c r="C8" i="22" l="1"/>
  <c r="C27" i="15"/>
  <c r="C13" i="22" l="1"/>
  <c r="C14" i="22" s="1"/>
  <c r="C17" i="22" l="1"/>
  <c r="C26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<sst xmlns="http://schemas.openxmlformats.org/spreadsheetml/2006/main" count="618" uniqueCount="254">
  <si>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</si>
  <si>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</si>
  <si>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</si>
  <si>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</si>
  <si>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</si>
  <si>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</si>
  <si>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</si>
  <si>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</si>
  <si>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</si>
  <si>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</si>
  <si>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</si>
  <si>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</si>
  <si>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</si>
  <si>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</si>
  <si>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</si>
  <si>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</si>
  <si>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</si>
  <si>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</si>
  <si>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</si>
  <si>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</si>
  <si>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</si>
  <si>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</si>
  <si>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</si>
  <si>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</si>
  <si>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</si>
  <si>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</si>
  <si>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</si>
  <si>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</si>
  <si>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</si>
  <si>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</si>
  <si>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</si>
  <si>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</si>
  <si>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</si>
  <si>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</si>
  <si>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</si>
  <si>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</si>
  <si>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</si>
  <si>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</si>
  <si>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</si>
  <si>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</si>
  <si>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</si>
  <si>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</si>
  <si>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</si>
  <si>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</si>
  <si>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</si>
  <si>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</si>
  <si>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</si>
  <si>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</si>
  <si>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</si>
  <si>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</si>
  <si>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</si>
  <si>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</si>
  <si>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</si>
  <si>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</si>
  <si>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</si>
  <si>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</si>
  <si>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</si>
  <si>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</si>
  <si>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</si>
  <si>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</si>
  <si>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</si>
  <si>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</si>
  <si>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</si>
  <si>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</si>
  <si>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</si>
  <si>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</si>
  <si>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</si>
  <si>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</si>
  <si>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</si>
  <si>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</si>
  <si>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</si>
  <si>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</si>
  <si>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</si>
  <si>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</si>
  <si>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</si>
  <si>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</si>
  <si>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</si>
  <si>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</si>
  <si>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</si>
  <si>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</si>
  <si>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</si>
  <si>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</si>
  <si>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</si>
  <si>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</si>
  <si>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</si>
  <si>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</si>
  <si>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</si>
  <si>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</si>
  <si>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</si>
  <si>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</si>
  <si>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</si>
  <si>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</si>
  <si>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</si>
  <si>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</si>
  <si>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</si>
  <si>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</si>
  <si>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</si>
  <si>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</si>
  <si>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</si>
  <si>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</si>
  <si>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</si>
  <si>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</si>
  <si>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</si>
  <si>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</si>
  <si>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</si>
  <si>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</si>
  <si>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</si>
  <si>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</si>
  <si>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</si>
  <si>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</si>
  <si>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</si>
  <si>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</si>
  <si>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</si>
  <si>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</si>
  <si>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</si>
  <si>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</si>
  <si>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</si>
  <si>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</si>
  <si>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</si>
  <si>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</si>
  <si>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</si>
  <si>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</si>
  <si>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</si>
  <si>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</si>
  <si>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</si>
  <si>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</si>
  <si>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</si>
  <si>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</si>
  <si>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</si>
  <si>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</si>
  <si>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</si>
  <si>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</si>
  <si>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</si>
  <si>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</si>
  <si>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</si>
  <si>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</si>
  <si>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</si>
  <si>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</si>
  <si>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</si>
  <si>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</si>
  <si>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</si>
  <si>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</si>
  <si>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</si>
  <si>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</si>
  <si>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</si>
  <si>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</si>
  <si>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</si>
  <si>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</si>
  <si>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</si>
  <si>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</si>
  <si>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</si>
  <si>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</si>
  <si>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</si>
  <si>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</si>
  <si>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</si>
  <si>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</si>
  <si>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</si>
  <si>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</si>
  <si>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</si>
  <si>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</si>
  <si>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</si>
  <si>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</si>
  <si>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</si>
  <si>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</si>
  <si>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</si>
  <si>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</si>
  <si>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</si>
  <si>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</si>
  <si>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</si>
  <si>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</si>
  <si>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</si>
  <si>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</si>
  <si>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</si>
  <si>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</si>
  <si>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</si>
  <si>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</si>
  <si>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</si>
  <si>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</si>
  <si>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</si>
  <si>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</si>
  <si>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</si>
  <si>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</si>
  <si>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</si>
  <si>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</si>
  <si>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</si>
  <si>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</si>
  <si>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Tillæg/fradrag for korrektion og kontrol </t>
  </si>
  <si>
    <t xml:space="preserve">Note: Denne opgørelse er taget fra jeres afgørelse for den økonomiske ramme for 2019. I kan derfor ikke komme med høringssvar til denne opgørelse. </t>
  </si>
  <si>
    <t xml:space="preserve">Tillæg/fradrag kontrol af den økonomiske ramme for 2018 </t>
  </si>
  <si>
    <t>Til indregning i de økonomiske rammer for 2023-2026</t>
  </si>
  <si>
    <t xml:space="preserve">Tillæg/fradrag i den økonomiske ramme for 2023-2026 i alt 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</si>
  <si>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</si>
  <si>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</si>
  <si>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</si>
  <si>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 xml:space="preserve"> - Heraf nye omkostninger i ØR20 - Drift</t>
  </si>
  <si>
    <t xml:space="preserve"> - Heraf nye omkostninger i ØR20- Anlæg</t>
  </si>
  <si>
    <t>Fane 2.3: Samlet økonomisk ramme for 2022</t>
  </si>
  <si>
    <t>Fane 2.4: Samlet økonomisk ramme for 2023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</si>
  <si>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</si>
  <si>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</si>
  <si>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</si>
  <si>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12: Bortfald eller nedsættelse af omkostninger til mål, medfinansiering eller udvidelse</t>
  </si>
  <si>
    <t>Fane 10.2: Engangstillæg</t>
  </si>
  <si>
    <t>Fane 10.1: Varige tillæg</t>
  </si>
  <si>
    <t>Fane 7: Kontrol med overholdelse af den økonomiske ramme for 2018</t>
  </si>
  <si>
    <t>Fane 4.1</t>
  </si>
  <si>
    <t>Fane 4.2</t>
  </si>
  <si>
    <t>Fane 6</t>
  </si>
  <si>
    <t>Fane 10.1</t>
  </si>
  <si>
    <t>Fane 10.2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</si>
  <si>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</si>
  <si>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</si>
  <si>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</si>
  <si>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</si>
  <si>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</si>
  <si>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</si>
  <si>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</si>
  <si>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</si>
  <si>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</si>
  <si>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- Heraf bortfald af driftsomkostninger i de økonomiske rammer for 2021</t>
  </si>
  <si>
    <t>Generelt effektiviseringskrav til driftsomkostningerne i ØR22</t>
  </si>
  <si>
    <t>- Heraf nye anlægsomkostninger til de økonomiske rammer for 2020</t>
  </si>
  <si>
    <t>- Heraf bortfald af anlægsomkostninger i de økonomiske rammer for 2020</t>
  </si>
  <si>
    <t>Fane 3</t>
  </si>
  <si>
    <t>Fane 3: Videreførte omkostninger fra den økonomiske ramme for 2019</t>
  </si>
  <si>
    <t>Korrektion af driftsomkostninger i grundlaget</t>
  </si>
  <si>
    <t>Korrektion af anlægsomkostninger i grundlaget</t>
  </si>
  <si>
    <t>Fane 13: Historisk over- eller underdækning</t>
  </si>
  <si>
    <t>Fane 11: Tilknyttet aktivitet under hovedvirksomheden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</si>
  <si>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</si>
  <si>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</si>
  <si>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</si>
  <si>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</si>
  <si>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</si>
  <si>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</si>
  <si>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</si>
  <si>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</si>
  <si>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Samlet økonomisk ramme for 2021</t>
  </si>
  <si>
    <t>Samlet økonomisk ramme for 2022</t>
  </si>
  <si>
    <t>Til statusmeddelelse for 2020, 2021 og 2022</t>
  </si>
  <si>
    <t>Bortfald miljø- og servicemål</t>
  </si>
  <si>
    <t>Afgift for ledningsført vand</t>
  </si>
  <si>
    <t>Afgift til Forsyningssekretariatet</t>
  </si>
  <si>
    <t>Ejendomsskat</t>
  </si>
  <si>
    <t>Selskabsskatter</t>
  </si>
  <si>
    <t>Tjenestemandspensioner</t>
  </si>
  <si>
    <t>Erstatninger</t>
  </si>
  <si>
    <t>Vandsamarbejde etableret i medfør af § 48 i vandforsyningsloven</t>
  </si>
  <si>
    <t>Ingen engangstillæg</t>
  </si>
  <si>
    <t>Ingen anlægsprojekter</t>
  </si>
  <si>
    <t>Anlægsprojekter igangsat senest 1. marts 2016</t>
  </si>
  <si>
    <t>Til indregning i de økonomiske rammer for 2020-2022</t>
  </si>
  <si>
    <t xml:space="preserve">Tillæg/fradrag i de økonomiske rammer for 2020-2022 i alt 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</si>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</sst>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5" t="s">
        <v>4</v>
      </c>
      <c r="E6" s="55"/>
      <c r="F6" s="55"/>
      <c r="G6" s="55"/>
      <c r="H6" s="3"/>
      <c r="I6" s="1"/>
    </row>
    <row r="7" spans="1:9" ht="15" customHeight="1" x14ac:dyDescent="0.25">
      <c r="A7" s="1"/>
      <c r="B7" s="1"/>
      <c r="C7" s="3"/>
      <c r="D7" s="55"/>
      <c r="E7" s="55"/>
      <c r="F7" s="55"/>
      <c r="G7" s="55"/>
      <c r="H7" s="3"/>
      <c r="I7" s="1"/>
    </row>
    <row r="8" spans="1:9" ht="15.75" x14ac:dyDescent="0.25">
      <c r="A8" s="1"/>
      <c r="B8" s="1"/>
      <c r="C8" s="4"/>
      <c r="D8" s="60" t="s">
        <v>239</v>
      </c>
      <c r="E8" s="60"/>
      <c r="F8" s="60"/>
      <c r="G8" s="6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9" t="s">
        <v>5</v>
      </c>
      <c r="E11" s="59"/>
      <c r="F11" s="59"/>
      <c r="G11" s="5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2" t="s">
        <v>56</v>
      </c>
      <c r="E13" s="53"/>
      <c r="F13" s="53"/>
      <c r="G13" s="54"/>
      <c r="H13" s="1"/>
      <c r="I13" s="1"/>
    </row>
    <row r="14" spans="1:9" x14ac:dyDescent="0.25">
      <c r="A14" s="1"/>
      <c r="B14" s="1"/>
      <c r="C14" s="6" t="s">
        <v>22</v>
      </c>
      <c r="D14" s="52" t="s">
        <v>237</v>
      </c>
      <c r="E14" s="53"/>
      <c r="F14" s="53"/>
      <c r="G14" s="54"/>
      <c r="H14" s="1"/>
      <c r="I14" s="1"/>
    </row>
    <row r="15" spans="1:9" x14ac:dyDescent="0.25">
      <c r="A15" s="1"/>
      <c r="B15" s="1"/>
      <c r="C15" s="6" t="s">
        <v>55</v>
      </c>
      <c r="D15" s="52" t="s">
        <v>238</v>
      </c>
      <c r="E15" s="53"/>
      <c r="F15" s="53"/>
      <c r="G15" s="54"/>
      <c r="H15" s="1"/>
      <c r="I15" s="1"/>
    </row>
    <row r="16" spans="1:9" x14ac:dyDescent="0.25">
      <c r="A16" s="1"/>
      <c r="B16" s="1"/>
      <c r="C16" s="6" t="s">
        <v>57</v>
      </c>
      <c r="D16" s="52" t="s">
        <v>134</v>
      </c>
      <c r="E16" s="53"/>
      <c r="F16" s="53"/>
      <c r="G16" s="54"/>
      <c r="H16" s="1"/>
      <c r="I16" s="1"/>
    </row>
    <row r="17" spans="1:9" x14ac:dyDescent="0.25">
      <c r="A17" s="1"/>
      <c r="B17" s="1"/>
      <c r="C17" s="6" t="s">
        <v>223</v>
      </c>
      <c r="D17" s="52" t="s">
        <v>66</v>
      </c>
      <c r="E17" s="53"/>
      <c r="F17" s="53"/>
      <c r="G17" s="54"/>
      <c r="H17" s="1"/>
      <c r="I17" s="1"/>
    </row>
    <row r="18" spans="1:9" x14ac:dyDescent="0.25">
      <c r="A18" s="1"/>
      <c r="B18" s="1"/>
      <c r="C18" s="6" t="s">
        <v>205</v>
      </c>
      <c r="D18" s="61" t="s">
        <v>162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206</v>
      </c>
      <c r="D19" s="61" t="s">
        <v>163</v>
      </c>
      <c r="E19" s="62"/>
      <c r="F19" s="62"/>
      <c r="G19" s="63"/>
      <c r="H19" s="1"/>
      <c r="I19" s="1"/>
    </row>
    <row r="20" spans="1:9" x14ac:dyDescent="0.25">
      <c r="A20" s="1"/>
      <c r="B20" s="1"/>
      <c r="C20" s="6" t="s">
        <v>7</v>
      </c>
      <c r="D20" s="61" t="s">
        <v>10</v>
      </c>
      <c r="E20" s="62"/>
      <c r="F20" s="62"/>
      <c r="G20" s="63"/>
      <c r="H20" s="1"/>
      <c r="I20" s="1"/>
    </row>
    <row r="21" spans="1:9" x14ac:dyDescent="0.25">
      <c r="A21" s="1"/>
      <c r="B21" s="1"/>
      <c r="C21" s="6" t="s">
        <v>207</v>
      </c>
      <c r="D21" s="70" t="s">
        <v>17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140</v>
      </c>
      <c r="D22" s="56" t="s">
        <v>161</v>
      </c>
      <c r="E22" s="57"/>
      <c r="F22" s="57"/>
      <c r="G22" s="58"/>
      <c r="H22" s="1"/>
      <c r="I22" s="1"/>
    </row>
    <row r="23" spans="1:9" x14ac:dyDescent="0.25">
      <c r="A23" s="1"/>
      <c r="B23" s="1"/>
      <c r="C23" s="6" t="s">
        <v>8</v>
      </c>
      <c r="D23" s="56" t="s">
        <v>229</v>
      </c>
      <c r="E23" s="57"/>
      <c r="F23" s="57"/>
      <c r="G23" s="58"/>
      <c r="H23" s="1"/>
      <c r="I23" s="1"/>
    </row>
    <row r="24" spans="1:9" x14ac:dyDescent="0.25">
      <c r="A24" s="1"/>
      <c r="B24" s="1"/>
      <c r="C24" s="6" t="s">
        <v>9</v>
      </c>
      <c r="D24" s="56" t="s">
        <v>58</v>
      </c>
      <c r="E24" s="57"/>
      <c r="F24" s="57"/>
      <c r="G24" s="58"/>
      <c r="H24" s="1"/>
      <c r="I24" s="1"/>
    </row>
    <row r="25" spans="1:9" x14ac:dyDescent="0.25">
      <c r="A25" s="1"/>
      <c r="B25" s="1"/>
      <c r="C25" s="6" t="s">
        <v>208</v>
      </c>
      <c r="D25" s="56" t="s">
        <v>141</v>
      </c>
      <c r="E25" s="57"/>
      <c r="F25" s="57"/>
      <c r="G25" s="58"/>
      <c r="H25" s="1"/>
      <c r="I25" s="1"/>
    </row>
    <row r="26" spans="1:9" x14ac:dyDescent="0.25">
      <c r="A26" s="1"/>
      <c r="B26" s="1"/>
      <c r="C26" s="6" t="s">
        <v>209</v>
      </c>
      <c r="D26" s="56" t="s">
        <v>142</v>
      </c>
      <c r="E26" s="57"/>
      <c r="F26" s="57"/>
      <c r="G26" s="58"/>
      <c r="H26" s="1"/>
      <c r="I26" s="1"/>
    </row>
    <row r="27" spans="1:9" x14ac:dyDescent="0.25">
      <c r="A27" s="1"/>
      <c r="B27" s="1"/>
      <c r="C27" s="6" t="s">
        <v>210</v>
      </c>
      <c r="D27" s="56" t="s">
        <v>59</v>
      </c>
      <c r="E27" s="57"/>
      <c r="F27" s="57"/>
      <c r="G27" s="58"/>
      <c r="H27" s="1"/>
      <c r="I27" s="1"/>
    </row>
    <row r="28" spans="1:9" x14ac:dyDescent="0.25">
      <c r="A28" s="1"/>
      <c r="B28" s="1"/>
      <c r="C28" s="6" t="s">
        <v>180</v>
      </c>
      <c r="D28" s="56" t="s">
        <v>60</v>
      </c>
      <c r="E28" s="57"/>
      <c r="F28" s="57"/>
      <c r="G28" s="58"/>
      <c r="H28" s="1"/>
      <c r="I28" s="1"/>
    </row>
    <row r="29" spans="1:9" x14ac:dyDescent="0.25">
      <c r="A29" s="1"/>
      <c r="B29" s="1"/>
      <c r="C29" s="6" t="s">
        <v>61</v>
      </c>
      <c r="D29" s="64" t="s">
        <v>11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62</v>
      </c>
      <c r="D30" s="67" t="s">
        <v>181</v>
      </c>
      <c r="E30" s="68"/>
      <c r="F30" s="68"/>
      <c r="G30" s="6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84XOQdiSYRCwGTyk24BJUwrNAgQOo8HM8DOZZv+bRgDCD5tNhoNdfBHmJ1Kx8Xuz24mg4xlre7h5viqPX670FQ==" saltValue="8YVi7ks7JwgHW/sva/1mC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20:G20" location="'Fane 5. Individuelt eff. krav'!A1" display="Individuelt effektiviseringskrav"/>
    <hyperlink ref="D29:G29" location="'Fane 13. Hist. over-underdæk.'!A1" display="Historisk over- eller underdækning"/>
    <hyperlink ref="D19:G19" location="'Fane 4.2. Gen. krav - anlæg'!A1" display="Generelt effektiviseringskrav på anlæg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200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69</v>
      </c>
      <c r="C8" s="97"/>
      <c r="D8" s="98"/>
      <c r="E8" s="1"/>
      <c r="F8" s="1"/>
    </row>
    <row r="9" spans="1:6" ht="15" customHeight="1" x14ac:dyDescent="0.25">
      <c r="A9" s="1"/>
      <c r="B9" s="43" t="s">
        <v>48</v>
      </c>
      <c r="C9" s="11" t="s">
        <v>70</v>
      </c>
      <c r="D9" s="11"/>
      <c r="E9" s="1"/>
      <c r="F9" s="1"/>
    </row>
    <row r="10" spans="1:6" x14ac:dyDescent="0.25">
      <c r="A10" s="1"/>
      <c r="B10" s="46" t="s">
        <v>241</v>
      </c>
      <c r="C10" s="9">
        <v>43157764</v>
      </c>
      <c r="D10" s="14" t="s">
        <v>3</v>
      </c>
      <c r="E10" s="1"/>
      <c r="F10" s="1"/>
    </row>
    <row r="11" spans="1:6" x14ac:dyDescent="0.25">
      <c r="A11" s="1"/>
      <c r="B11" s="46" t="s">
        <v>242</v>
      </c>
      <c r="C11" s="9">
        <v>86225</v>
      </c>
      <c r="D11" s="14" t="s">
        <v>3</v>
      </c>
      <c r="E11" s="1"/>
      <c r="F11" s="1"/>
    </row>
    <row r="12" spans="1:6" x14ac:dyDescent="0.25">
      <c r="A12" s="1"/>
      <c r="B12" s="46" t="s">
        <v>243</v>
      </c>
      <c r="C12" s="9">
        <v>75282</v>
      </c>
      <c r="D12" s="14" t="s">
        <v>3</v>
      </c>
      <c r="E12" s="1"/>
      <c r="F12" s="1"/>
    </row>
    <row r="13" spans="1:6" x14ac:dyDescent="0.25">
      <c r="A13" s="1"/>
      <c r="B13" s="46" t="s">
        <v>244</v>
      </c>
      <c r="C13" s="9">
        <v>217235</v>
      </c>
      <c r="D13" s="14" t="s">
        <v>3</v>
      </c>
      <c r="E13" s="1"/>
      <c r="F13" s="1"/>
    </row>
    <row r="14" spans="1:6" x14ac:dyDescent="0.25">
      <c r="A14" s="1"/>
      <c r="B14" s="46" t="s">
        <v>245</v>
      </c>
      <c r="C14" s="9">
        <v>14030428</v>
      </c>
      <c r="D14" s="14" t="s">
        <v>3</v>
      </c>
      <c r="E14" s="1"/>
      <c r="F14" s="1"/>
    </row>
    <row r="15" spans="1:6" x14ac:dyDescent="0.25">
      <c r="A15" s="1"/>
      <c r="B15" s="46" t="s">
        <v>246</v>
      </c>
      <c r="C15" s="9">
        <v>31280</v>
      </c>
      <c r="D15" s="14" t="s">
        <v>3</v>
      </c>
      <c r="E15" s="1"/>
      <c r="F15" s="1"/>
    </row>
    <row r="16" spans="1:6" ht="26.25" x14ac:dyDescent="0.25">
      <c r="A16" s="1"/>
      <c r="B16" s="42" t="s">
        <v>247</v>
      </c>
      <c r="C16" s="9">
        <v>9124798</v>
      </c>
      <c r="D16" s="14" t="s">
        <v>3</v>
      </c>
      <c r="E16" s="1"/>
      <c r="F16" s="1"/>
    </row>
    <row r="17" spans="1:6" x14ac:dyDescent="0.25">
      <c r="A17" s="1"/>
      <c r="B17" s="37" t="s">
        <v>71</v>
      </c>
      <c r="C17" s="12">
        <f>SUM(C10:C16)</f>
        <v>66723012</v>
      </c>
      <c r="D17" s="13" t="s">
        <v>3</v>
      </c>
      <c r="E17" s="1"/>
      <c r="F17" s="1"/>
    </row>
    <row r="18" spans="1:6" x14ac:dyDescent="0.25">
      <c r="A18" s="1"/>
      <c r="B18" s="37" t="s">
        <v>72</v>
      </c>
      <c r="C18" s="12">
        <f>C17*(1+'Fane 14. Nøgletal'!C12)^2</f>
        <v>69377793.206527084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algorithmName="SHA-512" hashValue="zgV2Z7nHq0vj1PnlVwP/Ymkh30pNd/rlbzGU5TkDCCrPpvrAqFaJS31TvVedRKtzISupxBH1RxtE1Q3l1203Fg==" saltValue="ILPvH3N7w2rwDYcEAbSkq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204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41"/>
      <c r="C5" s="41"/>
      <c r="D5" s="41"/>
      <c r="E5" s="41"/>
      <c r="F5" s="41"/>
      <c r="G5" s="1"/>
    </row>
    <row r="6" spans="1:7" ht="15" customHeight="1" x14ac:dyDescent="0.25">
      <c r="A6" s="1"/>
      <c r="B6" s="96" t="s">
        <v>52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50</v>
      </c>
      <c r="C7" s="100"/>
      <c r="D7" s="101"/>
      <c r="E7" s="9">
        <v>-2980417.6712499997</v>
      </c>
      <c r="F7" s="14" t="s">
        <v>3</v>
      </c>
      <c r="G7" s="1"/>
    </row>
    <row r="8" spans="1:7" ht="15" customHeight="1" x14ac:dyDescent="0.25">
      <c r="A8" s="1"/>
      <c r="B8" s="99" t="s">
        <v>51</v>
      </c>
      <c r="C8" s="100"/>
      <c r="D8" s="101"/>
      <c r="E8" s="9">
        <v>8565148.0426606238</v>
      </c>
      <c r="F8" s="14" t="s">
        <v>3</v>
      </c>
      <c r="G8" s="1"/>
    </row>
    <row r="9" spans="1:7" ht="15" customHeight="1" x14ac:dyDescent="0.25">
      <c r="A9" s="1"/>
      <c r="B9" s="110" t="s">
        <v>183</v>
      </c>
      <c r="C9" s="111"/>
      <c r="D9" s="112"/>
      <c r="E9" s="10">
        <f>SUM(E7:E8)</f>
        <v>5584730.3714106241</v>
      </c>
      <c r="F9" s="17" t="s">
        <v>3</v>
      </c>
      <c r="G9" s="1"/>
    </row>
    <row r="10" spans="1:7" ht="15" customHeight="1" x14ac:dyDescent="0.25">
      <c r="A10" s="1"/>
      <c r="B10" s="37"/>
      <c r="C10" s="38"/>
      <c r="D10" s="38"/>
      <c r="E10" s="38"/>
      <c r="F10" s="22"/>
      <c r="G10" s="1"/>
    </row>
    <row r="11" spans="1:7" ht="28.5" customHeight="1" x14ac:dyDescent="0.25">
      <c r="A11" s="1"/>
      <c r="B11" s="75" t="s">
        <v>185</v>
      </c>
      <c r="C11" s="76"/>
      <c r="D11" s="76"/>
      <c r="E11" s="76"/>
      <c r="F11" s="77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165</v>
      </c>
      <c r="C14" s="97"/>
      <c r="D14" s="97"/>
      <c r="E14" s="97"/>
      <c r="F14" s="98"/>
      <c r="G14" s="1"/>
    </row>
    <row r="15" spans="1:7" x14ac:dyDescent="0.25">
      <c r="A15" s="1"/>
      <c r="B15" s="99" t="s">
        <v>166</v>
      </c>
      <c r="C15" s="100"/>
      <c r="D15" s="101"/>
      <c r="E15" s="9">
        <v>112885417.25101279</v>
      </c>
      <c r="F15" s="14" t="s">
        <v>3</v>
      </c>
      <c r="G15" s="1"/>
    </row>
    <row r="16" spans="1:7" x14ac:dyDescent="0.25">
      <c r="A16" s="1"/>
      <c r="B16" s="99" t="s">
        <v>167</v>
      </c>
      <c r="C16" s="100"/>
      <c r="D16" s="101"/>
      <c r="E16" s="9">
        <v>112442761</v>
      </c>
      <c r="F16" s="14" t="s">
        <v>3</v>
      </c>
      <c r="G16" s="1"/>
    </row>
    <row r="17" spans="1:7" x14ac:dyDescent="0.25">
      <c r="A17" s="1"/>
      <c r="B17" s="99" t="s">
        <v>49</v>
      </c>
      <c r="C17" s="100"/>
      <c r="D17" s="101"/>
      <c r="E17" s="9">
        <v>0</v>
      </c>
      <c r="F17" s="14" t="s">
        <v>3</v>
      </c>
      <c r="G17" s="1"/>
    </row>
    <row r="18" spans="1:7" x14ac:dyDescent="0.25">
      <c r="A18" s="1"/>
      <c r="B18" s="110" t="s">
        <v>184</v>
      </c>
      <c r="C18" s="111"/>
      <c r="D18" s="112"/>
      <c r="E18" s="10">
        <f>E15-(E16-E17)</f>
        <v>442656.25101278722</v>
      </c>
      <c r="F18" s="17" t="s">
        <v>3</v>
      </c>
      <c r="G18" s="1"/>
    </row>
    <row r="19" spans="1:7" x14ac:dyDescent="0.25">
      <c r="A19" s="1"/>
      <c r="B19" s="37"/>
      <c r="C19" s="38"/>
      <c r="D19" s="38"/>
      <c r="E19" s="38"/>
      <c r="F19" s="22"/>
      <c r="G19" s="1"/>
    </row>
    <row r="20" spans="1:7" ht="27.75" customHeight="1" x14ac:dyDescent="0.25">
      <c r="A20" s="1"/>
      <c r="B20" s="75" t="s">
        <v>187</v>
      </c>
      <c r="C20" s="76"/>
      <c r="D20" s="76"/>
      <c r="E20" s="76"/>
      <c r="F20" s="77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6" t="s">
        <v>77</v>
      </c>
      <c r="C23" s="97"/>
      <c r="D23" s="97"/>
      <c r="E23" s="97"/>
      <c r="F23" s="98"/>
      <c r="G23" s="1"/>
    </row>
    <row r="24" spans="1:7" x14ac:dyDescent="0.25">
      <c r="A24" s="1"/>
      <c r="B24" s="99" t="s">
        <v>78</v>
      </c>
      <c r="C24" s="100"/>
      <c r="D24" s="101"/>
      <c r="E24" s="9">
        <v>110571339.21157937</v>
      </c>
      <c r="F24" s="14" t="s">
        <v>3</v>
      </c>
      <c r="G24" s="1"/>
    </row>
    <row r="25" spans="1:7" x14ac:dyDescent="0.25">
      <c r="A25" s="1"/>
      <c r="B25" s="99" t="s">
        <v>79</v>
      </c>
      <c r="C25" s="100"/>
      <c r="D25" s="101"/>
      <c r="E25" s="9">
        <v>116749499</v>
      </c>
      <c r="F25" s="14" t="s">
        <v>3</v>
      </c>
      <c r="G25" s="1"/>
    </row>
    <row r="26" spans="1:7" x14ac:dyDescent="0.25">
      <c r="A26" s="1"/>
      <c r="B26" s="99" t="s">
        <v>49</v>
      </c>
      <c r="C26" s="100"/>
      <c r="D26" s="101"/>
      <c r="E26" s="9">
        <v>0</v>
      </c>
      <c r="F26" s="14" t="s">
        <v>3</v>
      </c>
      <c r="G26" s="1"/>
    </row>
    <row r="27" spans="1:7" x14ac:dyDescent="0.25">
      <c r="A27" s="1"/>
      <c r="B27" s="110" t="s">
        <v>184</v>
      </c>
      <c r="C27" s="111"/>
      <c r="D27" s="112"/>
      <c r="E27" s="10">
        <f>E24-(E25-E26)</f>
        <v>-6178159.7884206325</v>
      </c>
      <c r="F27" s="17" t="s">
        <v>3</v>
      </c>
      <c r="G27" s="1"/>
    </row>
    <row r="28" spans="1:7" x14ac:dyDescent="0.25">
      <c r="A28" s="1"/>
      <c r="B28" s="37"/>
      <c r="C28" s="38"/>
      <c r="D28" s="38"/>
      <c r="E28" s="38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6" t="s">
        <v>251</v>
      </c>
      <c r="C31" s="97"/>
      <c r="D31" s="97"/>
      <c r="E31" s="97"/>
      <c r="F31" s="98"/>
      <c r="G31" s="1"/>
    </row>
    <row r="32" spans="1:7" x14ac:dyDescent="0.25">
      <c r="A32" s="1"/>
      <c r="B32" s="110" t="s">
        <v>252</v>
      </c>
      <c r="C32" s="111"/>
      <c r="D32" s="112"/>
      <c r="E32" s="10">
        <f>IF(AND(E9&gt;0,E18&gt;0),E9/4,IF(AND(E9&gt;0,E18&lt;0,ABS(E9)&gt;ABS(E18)),(E9+E18)/4,IF(AND(E9&lt;0,E18&gt;0,ABS(E9)&gt;ABS(E18)),(E9+E18)/4,IF(AND(E9&gt;0,E18&lt;0,ABS(E9)&lt;ABS(E18)),(E9+E18)/4+IF(E9+E18+E27&gt;0,(E27-(E9+E18+E27))/3,IF(E9+E18+E27=0,E27/3,IF(AND(E27&gt;0,E9+E18+E27&lt;0),E27/3,0))),IF(AND(E9&lt;0,E18&lt;0),(E9+E18)/4+IF(E9+E18+E27&gt;0,(E27-(E9+E18+E27))/3,IF(E9+E18+E27=0,E27/3,IF(AND(E27&gt;0,E9+E18+E27&lt;0),E27/3,0))),0)))))</f>
        <v>1396182.592852656</v>
      </c>
      <c r="F32" s="17" t="s">
        <v>3</v>
      </c>
      <c r="G32" s="1"/>
    </row>
    <row r="33" spans="1:7" x14ac:dyDescent="0.25">
      <c r="A33" s="1"/>
      <c r="B33" s="96"/>
      <c r="C33" s="97"/>
      <c r="D33" s="97"/>
      <c r="E33" s="97"/>
      <c r="F33" s="98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189</v>
      </c>
      <c r="C36" s="97"/>
      <c r="D36" s="97"/>
      <c r="E36" s="97"/>
      <c r="F36" s="98"/>
      <c r="G36" s="1"/>
    </row>
    <row r="37" spans="1:7" x14ac:dyDescent="0.25">
      <c r="A37" s="1"/>
      <c r="B37" s="105" t="s">
        <v>53</v>
      </c>
      <c r="C37" s="106"/>
      <c r="D37" s="107"/>
      <c r="E37" s="9">
        <f>IF(AND(E9&gt;0,E18&gt;0),IF(E18+E27&gt;=0,0,IF(E18+E27&lt;0,E18+E27,0)),IF(AND(E9&lt;0,E18&gt;0,ABS(E9)&lt;ABS(E18)),IF(E9+E18+E27&gt;=0,0,IF(E9+E18+E27&lt;0,E9+E18+E27,0)),IF(E27&gt;=0,0,E27)))</f>
        <v>-5735503.5374078453</v>
      </c>
      <c r="F37" s="14" t="s">
        <v>3</v>
      </c>
      <c r="G37" s="1"/>
    </row>
    <row r="38" spans="1:7" x14ac:dyDescent="0.25">
      <c r="A38" s="1"/>
      <c r="B38" s="105" t="s">
        <v>182</v>
      </c>
      <c r="C38" s="106"/>
      <c r="D38" s="107"/>
      <c r="E38" s="9">
        <v>4</v>
      </c>
      <c r="F38" s="14" t="s">
        <v>27</v>
      </c>
      <c r="G38" s="1"/>
    </row>
    <row r="39" spans="1:7" x14ac:dyDescent="0.25">
      <c r="A39" s="1"/>
      <c r="B39" s="110" t="s">
        <v>190</v>
      </c>
      <c r="C39" s="111"/>
      <c r="D39" s="112"/>
      <c r="E39" s="10">
        <f>E37/E38</f>
        <v>-1433875.8843519613</v>
      </c>
      <c r="F39" s="17" t="s">
        <v>3</v>
      </c>
      <c r="G39" s="1"/>
    </row>
    <row r="40" spans="1:7" x14ac:dyDescent="0.25">
      <c r="A40" s="1"/>
      <c r="B40" s="96"/>
      <c r="C40" s="97"/>
      <c r="D40" s="97"/>
      <c r="E40" s="97"/>
      <c r="F40" s="98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vc+QYDj+/ccDY6EJXPK4Ta+4r1QyeqNfPvu+mZ4VlIs6DBoeSAnoPy/Nr3IhexUE5k7DSctN/3E9/zg1JLEKg==" saltValue="kUP8lliu7DLeWP974yOSy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231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159</v>
      </c>
      <c r="C8" s="97"/>
      <c r="D8" s="97"/>
      <c r="E8" s="97"/>
      <c r="F8" s="98"/>
      <c r="G8" s="1"/>
    </row>
    <row r="9" spans="1:7" ht="29.25" customHeight="1" x14ac:dyDescent="0.25">
      <c r="A9" s="1"/>
      <c r="B9" s="87" t="s">
        <v>164</v>
      </c>
      <c r="C9" s="88"/>
      <c r="D9" s="89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Nøgletal'!C10))/4),0)&lt;0,-((('Fane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Nøgletal'!C10))/4),0)</f>
        <v>0</v>
      </c>
      <c r="F9" s="11" t="s">
        <v>3</v>
      </c>
      <c r="G9" s="1"/>
    </row>
    <row r="10" spans="1:7" x14ac:dyDescent="0.25">
      <c r="A10" s="1"/>
      <c r="B10" s="37" t="s">
        <v>175</v>
      </c>
      <c r="C10" s="38"/>
      <c r="D10" s="38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ON/sTBxpyZsHafj2JwTBr33I5X1M9Z6DuWHo4q0FW4TUrHbM9UOf+44NtcyvZsuXAVtt7wj5ddY+/86H/YApaw==" saltValue="mU7WOfQvFqceOe/ZAXqgL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232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233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0"/>
      <c r="I9" s="1"/>
    </row>
    <row r="10" spans="1:9" x14ac:dyDescent="0.25">
      <c r="A10" s="1"/>
      <c r="B10" s="50" t="s">
        <v>249</v>
      </c>
      <c r="C10" s="51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6" t="s">
        <v>234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0tWjHXbaRvn/4dMxqRLmqr1bJW6SI5Ko2b34DSVysFe/KeIO7pgJxxeiEmAH2VfemwE+9Nh1TPdWdBXbAG/yoA==" saltValue="vGW8jH0Jmk6i69qFm8+Nj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203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137</v>
      </c>
      <c r="C8" s="38"/>
      <c r="D8" s="38"/>
      <c r="E8" s="38"/>
      <c r="F8" s="22"/>
      <c r="G8" s="1"/>
    </row>
    <row r="9" spans="1:7" ht="17.25" customHeight="1" x14ac:dyDescent="0.25">
      <c r="A9" s="1"/>
      <c r="B9" s="44" t="s">
        <v>24</v>
      </c>
      <c r="C9" s="44" t="s">
        <v>16</v>
      </c>
      <c r="D9" s="45"/>
      <c r="E9" s="44" t="s">
        <v>47</v>
      </c>
      <c r="F9" s="40"/>
      <c r="G9" s="1"/>
    </row>
    <row r="10" spans="1:7" x14ac:dyDescent="0.25">
      <c r="A10" s="1"/>
      <c r="B10" s="27" t="s">
        <v>250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7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/F7aF+c+oG95MPbd+llQyy9Wj4ixNGyaWBpzO1c47oxpOcW3M3eZmpIOJLa4kHRfhvpoPjGpudwoEpBFxJzPQ==" saltValue="lDKDkBekGxdulQ3IiqAE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168</v>
      </c>
      <c r="C8" s="97"/>
      <c r="D8" s="97"/>
      <c r="E8" s="97"/>
      <c r="F8" s="98"/>
      <c r="G8" s="1"/>
    </row>
    <row r="9" spans="1:7" x14ac:dyDescent="0.25">
      <c r="A9" s="1"/>
      <c r="B9" s="44" t="s">
        <v>24</v>
      </c>
      <c r="C9" s="44" t="s">
        <v>16</v>
      </c>
      <c r="D9" s="45"/>
      <c r="E9" s="44" t="s">
        <v>47</v>
      </c>
      <c r="F9" s="40"/>
      <c r="G9" s="1"/>
    </row>
    <row r="10" spans="1:7" x14ac:dyDescent="0.25">
      <c r="A10" s="1"/>
      <c r="B10" s="27" t="s">
        <v>248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7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169</v>
      </c>
      <c r="C16" s="97"/>
      <c r="D16" s="97"/>
      <c r="E16" s="97"/>
      <c r="F16" s="98"/>
      <c r="G16" s="1"/>
    </row>
    <row r="17" spans="1:7" x14ac:dyDescent="0.25">
      <c r="A17" s="1"/>
      <c r="B17" s="44" t="s">
        <v>24</v>
      </c>
      <c r="C17" s="44" t="s">
        <v>16</v>
      </c>
      <c r="D17" s="45"/>
      <c r="E17" s="44" t="s">
        <v>47</v>
      </c>
      <c r="F17" s="40"/>
      <c r="G17" s="1"/>
    </row>
    <row r="18" spans="1:7" x14ac:dyDescent="0.25">
      <c r="A18" s="1"/>
      <c r="B18" s="27" t="s">
        <v>248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7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170</v>
      </c>
      <c r="C24" s="97"/>
      <c r="D24" s="97"/>
      <c r="E24" s="97"/>
      <c r="F24" s="98"/>
      <c r="G24" s="1"/>
    </row>
    <row r="25" spans="1:7" x14ac:dyDescent="0.25">
      <c r="A25" s="1"/>
      <c r="B25" s="44" t="s">
        <v>24</v>
      </c>
      <c r="C25" s="44" t="s">
        <v>16</v>
      </c>
      <c r="D25" s="45"/>
      <c r="E25" s="44" t="s">
        <v>47</v>
      </c>
      <c r="F25" s="40"/>
      <c r="G25" s="1"/>
    </row>
    <row r="26" spans="1:7" x14ac:dyDescent="0.25">
      <c r="A26" s="1"/>
      <c r="B26" s="27" t="s">
        <v>248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7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171</v>
      </c>
      <c r="C32" s="97"/>
      <c r="D32" s="97"/>
      <c r="E32" s="97"/>
      <c r="F32" s="98"/>
      <c r="G32" s="1"/>
    </row>
    <row r="33" spans="1:7" x14ac:dyDescent="0.25">
      <c r="A33" s="1"/>
      <c r="B33" s="44" t="s">
        <v>24</v>
      </c>
      <c r="C33" s="44" t="s">
        <v>16</v>
      </c>
      <c r="D33" s="45"/>
      <c r="E33" s="44" t="s">
        <v>47</v>
      </c>
      <c r="F33" s="40"/>
      <c r="G33" s="1"/>
    </row>
    <row r="34" spans="1:7" x14ac:dyDescent="0.25">
      <c r="A34" s="1"/>
      <c r="B34" s="27" t="s">
        <v>248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7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XBRn/DRS5xpIDdycfE2mb6lj/modGmBPzdDNkhTOO339SxsflFubzUl9vf4JxizVclVdaS5HokEv/r52Wjc6w==" saltValue="W2dZQkXoLXK+PYFnsgsca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228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31</v>
      </c>
      <c r="C8" s="97"/>
      <c r="D8" s="97"/>
      <c r="E8" s="97"/>
      <c r="F8" s="98"/>
      <c r="G8" s="1"/>
    </row>
    <row r="9" spans="1:7" ht="15" customHeight="1" x14ac:dyDescent="0.25">
      <c r="A9" s="1"/>
      <c r="B9" s="39" t="s">
        <v>32</v>
      </c>
      <c r="C9" s="87" t="s">
        <v>16</v>
      </c>
      <c r="D9" s="89"/>
      <c r="E9" s="87" t="s">
        <v>47</v>
      </c>
      <c r="F9" s="89"/>
      <c r="G9" s="1"/>
    </row>
    <row r="10" spans="1:7" x14ac:dyDescent="0.25">
      <c r="A10" s="1"/>
      <c r="B10" s="27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eeD0sZcajaujwLzwz2F5JaOyrPqKcYHUWqoJspmdfx6ZmjgkAF8gSwyEZyqBR4kDGI/4fWPLlrVl38esRbexw==" saltValue="fF4TTNlbSJbWwdMh7Buaf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201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39" t="s">
        <v>25</v>
      </c>
      <c r="C9" s="39" t="s">
        <v>16</v>
      </c>
      <c r="D9" s="40"/>
      <c r="E9" s="39" t="s">
        <v>47</v>
      </c>
      <c r="F9" s="40"/>
      <c r="G9" s="1"/>
    </row>
    <row r="10" spans="1:7" x14ac:dyDescent="0.25">
      <c r="A10" s="1"/>
      <c r="B10" s="27" t="s">
        <v>240</v>
      </c>
      <c r="C10" s="9">
        <v>8278289.4302507741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64</v>
      </c>
      <c r="C11" s="12">
        <f>SUM(C10:C10)</f>
        <v>8278289.4302507741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75</v>
      </c>
      <c r="C12" s="12">
        <f>C11*(1+'Fane 14. Nøgletal'!C12)</f>
        <v>8441371.7320267148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157</v>
      </c>
      <c r="C14" s="97"/>
      <c r="D14" s="97"/>
      <c r="E14" s="97"/>
      <c r="F14" s="98"/>
      <c r="G14" s="1"/>
    </row>
    <row r="15" spans="1:7" ht="26.25" x14ac:dyDescent="0.25">
      <c r="A15" s="1"/>
      <c r="B15" s="39" t="s">
        <v>25</v>
      </c>
      <c r="C15" s="39" t="s">
        <v>16</v>
      </c>
      <c r="D15" s="40"/>
      <c r="E15" s="39" t="s">
        <v>47</v>
      </c>
      <c r="F15" s="40"/>
      <c r="G15" s="1"/>
    </row>
    <row r="16" spans="1:7" x14ac:dyDescent="0.25">
      <c r="A16" s="1"/>
      <c r="B16" s="27" t="s">
        <v>236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64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148</v>
      </c>
      <c r="C18" s="12">
        <f>C17*(1+'Fane 14. Nøgletal'!C12)^2</f>
        <v>0</v>
      </c>
      <c r="D18" s="13" t="s">
        <v>3</v>
      </c>
      <c r="E18" s="12">
        <f>E17*(1+'Fane 14.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155</v>
      </c>
      <c r="C20" s="97"/>
      <c r="D20" s="97"/>
      <c r="E20" s="97"/>
      <c r="F20" s="98"/>
      <c r="G20" s="1"/>
    </row>
    <row r="21" spans="1:7" ht="26.25" x14ac:dyDescent="0.25">
      <c r="A21" s="1"/>
      <c r="B21" s="39" t="s">
        <v>25</v>
      </c>
      <c r="C21" s="39" t="s">
        <v>16</v>
      </c>
      <c r="D21" s="40"/>
      <c r="E21" s="39" t="s">
        <v>47</v>
      </c>
      <c r="F21" s="40"/>
      <c r="G21" s="1"/>
    </row>
    <row r="22" spans="1:7" x14ac:dyDescent="0.25">
      <c r="A22" s="1"/>
      <c r="B22" s="27" t="s">
        <v>236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64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149</v>
      </c>
      <c r="C24" s="12">
        <f>C23*(1+'Fane 14. Nøgletal'!C12)^3</f>
        <v>0</v>
      </c>
      <c r="D24" s="13" t="s">
        <v>3</v>
      </c>
      <c r="E24" s="12">
        <f>E23*(1+'Fane 14.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158</v>
      </c>
      <c r="C26" s="97"/>
      <c r="D26" s="97"/>
      <c r="E26" s="97"/>
      <c r="F26" s="98"/>
      <c r="G26" s="1"/>
    </row>
    <row r="27" spans="1:7" ht="26.25" x14ac:dyDescent="0.25">
      <c r="A27" s="1"/>
      <c r="B27" s="39" t="s">
        <v>25</v>
      </c>
      <c r="C27" s="39" t="s">
        <v>16</v>
      </c>
      <c r="D27" s="40"/>
      <c r="E27" s="39" t="s">
        <v>47</v>
      </c>
      <c r="F27" s="40"/>
      <c r="G27" s="1"/>
    </row>
    <row r="28" spans="1:7" x14ac:dyDescent="0.25">
      <c r="A28" s="1"/>
      <c r="B28" s="27" t="s">
        <v>236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64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150</v>
      </c>
      <c r="C30" s="12">
        <f>C29*(1+'Fane 14. Nøgletal'!C12)^4</f>
        <v>0</v>
      </c>
      <c r="D30" s="13" t="s">
        <v>3</v>
      </c>
      <c r="E30" s="12">
        <f>E29*(1+'Fane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0lOnKg0+FuWBfB/DWHY0pUbiEZRH7yPZACkFUeYNvCNFVvI9TWLZ0A1OKVd8B3ctJoHWUdfOHp8mKAPnC0G8w==" saltValue="rgjfS5vvwHrCp1mBPqEOA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18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</v>
      </c>
      <c r="C9" s="100"/>
      <c r="D9" s="100"/>
      <c r="E9" s="100"/>
      <c r="F9" s="101"/>
      <c r="G9" s="9">
        <v>33833597</v>
      </c>
      <c r="H9" s="14" t="s">
        <v>3</v>
      </c>
      <c r="I9" s="1"/>
    </row>
    <row r="10" spans="1:9" x14ac:dyDescent="0.25">
      <c r="A10" s="1"/>
      <c r="B10" s="99" t="s">
        <v>135</v>
      </c>
      <c r="C10" s="100"/>
      <c r="D10" s="100"/>
      <c r="E10" s="100"/>
      <c r="F10" s="101"/>
      <c r="G10" s="9">
        <v>0</v>
      </c>
      <c r="H10" s="14" t="s">
        <v>3</v>
      </c>
      <c r="I10" s="1"/>
    </row>
    <row r="11" spans="1:9" x14ac:dyDescent="0.25">
      <c r="A11" s="1"/>
      <c r="B11" s="99" t="s">
        <v>80</v>
      </c>
      <c r="C11" s="100"/>
      <c r="D11" s="100"/>
      <c r="E11" s="100"/>
      <c r="F11" s="101"/>
      <c r="G11" s="9">
        <v>-30344024.134920634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3489572.8650793657</v>
      </c>
      <c r="H12" s="18" t="s">
        <v>3</v>
      </c>
      <c r="I12" s="1"/>
    </row>
    <row r="13" spans="1:9" x14ac:dyDescent="0.25">
      <c r="A13" s="1"/>
      <c r="B13" s="99" t="s">
        <v>13</v>
      </c>
      <c r="C13" s="100"/>
      <c r="D13" s="100"/>
      <c r="E13" s="100"/>
      <c r="F13" s="101"/>
      <c r="G13" s="9">
        <v>1</v>
      </c>
      <c r="H13" s="14" t="s">
        <v>27</v>
      </c>
      <c r="I13" s="1"/>
    </row>
    <row r="14" spans="1:9" x14ac:dyDescent="0.25">
      <c r="A14" s="1"/>
      <c r="B14" s="96" t="s">
        <v>136</v>
      </c>
      <c r="C14" s="97"/>
      <c r="D14" s="97"/>
      <c r="E14" s="97"/>
      <c r="F14" s="98"/>
      <c r="G14" s="12">
        <f>IF(G13 = 0,0,-G12/G13)</f>
        <v>-3489572.8650793657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o7vKwjnlKtjTqVQTxDVFQKuSZu4lX3qZt+N9Z170eVcCoqyjq8WVvqPFbP+W8gpCild3YQlPzUleKX3r0mXYw==" saltValue="DejfljLJqQeGI79HBPFmr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54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21</v>
      </c>
      <c r="C8" s="22"/>
      <c r="D8" s="1"/>
    </row>
    <row r="9" spans="1:4" x14ac:dyDescent="0.25">
      <c r="A9" s="1"/>
      <c r="B9" s="46" t="s">
        <v>211</v>
      </c>
      <c r="C9" s="28">
        <v>1.2699999999999999E-2</v>
      </c>
      <c r="D9" s="1"/>
    </row>
    <row r="10" spans="1:4" x14ac:dyDescent="0.25">
      <c r="A10" s="1"/>
      <c r="B10" s="46" t="s">
        <v>30</v>
      </c>
      <c r="C10" s="28">
        <v>1.7500000000000002E-2</v>
      </c>
      <c r="D10" s="1"/>
    </row>
    <row r="11" spans="1:4" x14ac:dyDescent="0.25">
      <c r="A11" s="1"/>
      <c r="B11" s="46" t="s">
        <v>212</v>
      </c>
      <c r="C11" s="28">
        <v>1.6899999999999998E-2</v>
      </c>
      <c r="D11" s="1"/>
    </row>
    <row r="12" spans="1:4" x14ac:dyDescent="0.25">
      <c r="A12" s="1"/>
      <c r="B12" s="33" t="s">
        <v>73</v>
      </c>
      <c r="C12" s="34">
        <v>1.9699999999999999E-2</v>
      </c>
      <c r="D12" s="1"/>
    </row>
    <row r="13" spans="1:4" x14ac:dyDescent="0.25">
      <c r="A13" s="1"/>
      <c r="B13" s="37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7" t="s">
        <v>178</v>
      </c>
      <c r="C16" s="22"/>
      <c r="D16" s="1"/>
    </row>
    <row r="17" spans="1:4" x14ac:dyDescent="0.25">
      <c r="A17" s="1"/>
      <c r="B17" s="46" t="s">
        <v>213</v>
      </c>
      <c r="C17" s="25">
        <v>9.1000000000000004E-3</v>
      </c>
      <c r="D17" s="1"/>
    </row>
    <row r="18" spans="1:4" x14ac:dyDescent="0.25">
      <c r="A18" s="1"/>
      <c r="B18" s="46" t="s">
        <v>214</v>
      </c>
      <c r="C18" s="25">
        <v>1.77E-2</v>
      </c>
      <c r="D18" s="1"/>
    </row>
    <row r="19" spans="1:4" x14ac:dyDescent="0.25">
      <c r="A19" s="1"/>
      <c r="B19" s="46" t="s">
        <v>216</v>
      </c>
      <c r="C19" s="25">
        <v>8.6999999999999994E-3</v>
      </c>
      <c r="D19" s="1"/>
    </row>
    <row r="20" spans="1:4" x14ac:dyDescent="0.25">
      <c r="A20" s="1"/>
      <c r="B20" s="46" t="s">
        <v>215</v>
      </c>
      <c r="C20" s="35">
        <v>2.8400000000000002E-2</v>
      </c>
      <c r="D20" s="1"/>
    </row>
    <row r="21" spans="1:4" x14ac:dyDescent="0.25">
      <c r="A21" s="1"/>
      <c r="B21" s="37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7" t="s">
        <v>179</v>
      </c>
      <c r="C24" s="22"/>
      <c r="D24" s="1"/>
    </row>
    <row r="25" spans="1:4" x14ac:dyDescent="0.25">
      <c r="A25" s="1"/>
      <c r="B25" s="46" t="s">
        <v>217</v>
      </c>
      <c r="C25" s="28">
        <v>0.02</v>
      </c>
      <c r="D25" s="1"/>
    </row>
    <row r="26" spans="1:4" x14ac:dyDescent="0.25">
      <c r="A26" s="1"/>
      <c r="B26" s="37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LJXQMWAMSxUac01EVm4WIk/KY3D9/O4eBQj24K31hkir+djeYMNwk+kcOp55MTRGt2LuNIV4W3XBXofOSR5KOw==" saltValue="8S8aLcmT7FWuq/PljOEQX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20</v>
      </c>
      <c r="C8" s="38"/>
      <c r="D8" s="22"/>
      <c r="E8" s="1"/>
    </row>
    <row r="9" spans="1:5" x14ac:dyDescent="0.25">
      <c r="A9" s="1"/>
      <c r="B9" s="42" t="s">
        <v>34</v>
      </c>
      <c r="C9" s="7">
        <f>'Fane 3. Omkostninger i ØR2019'!E22</f>
        <v>60466837.985993162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-8441371.7320267148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855594.53884235816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-601264.01715005643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-198514.89845203114</v>
      </c>
      <c r="D19" s="8" t="s">
        <v>3</v>
      </c>
      <c r="E19" s="1"/>
    </row>
    <row r="20" spans="1:5" ht="17.100000000000001" customHeight="1" x14ac:dyDescent="0.25">
      <c r="A20" s="1"/>
      <c r="B20" s="49" t="s">
        <v>28</v>
      </c>
      <c r="C20" s="10">
        <f>SUM(C9:C19)</f>
        <v>52081281.87720672</v>
      </c>
      <c r="D20" s="11" t="s">
        <v>3</v>
      </c>
      <c r="E20" s="1"/>
    </row>
    <row r="21" spans="1:5" ht="15" customHeight="1" x14ac:dyDescent="0.25">
      <c r="A21" s="1"/>
      <c r="B21" s="37" t="s">
        <v>17</v>
      </c>
      <c r="C21" s="38"/>
      <c r="D21" s="22"/>
      <c r="E21" s="1"/>
    </row>
    <row r="22" spans="1:5" ht="15" customHeight="1" x14ac:dyDescent="0.25">
      <c r="A22" s="1"/>
      <c r="B22" s="39" t="s">
        <v>17</v>
      </c>
      <c r="C22" s="10">
        <f>'Fane 6. Ikke-påvirkelige omk.'!C18</f>
        <v>69377793.206527084</v>
      </c>
      <c r="D22" s="11" t="s">
        <v>3</v>
      </c>
      <c r="E22" s="1"/>
    </row>
    <row r="23" spans="1:5" ht="15" customHeight="1" x14ac:dyDescent="0.25">
      <c r="A23" s="1"/>
      <c r="B23" s="37" t="s">
        <v>142</v>
      </c>
      <c r="C23" s="38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49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7" t="s">
        <v>11</v>
      </c>
      <c r="C27" s="38"/>
      <c r="D27" s="22"/>
      <c r="E27" s="1"/>
    </row>
    <row r="28" spans="1:5" ht="15" customHeight="1" x14ac:dyDescent="0.25">
      <c r="A28" s="1"/>
      <c r="B28" s="39" t="s">
        <v>19</v>
      </c>
      <c r="C28" s="10">
        <f>'Fane 13. Hist. over-underdæk.'!G14</f>
        <v>-3489572.8650793657</v>
      </c>
      <c r="D28" s="11" t="s">
        <v>3</v>
      </c>
      <c r="E28" s="1"/>
    </row>
    <row r="29" spans="1:5" x14ac:dyDescent="0.25">
      <c r="A29" s="1"/>
      <c r="B29" s="37" t="s">
        <v>53</v>
      </c>
      <c r="C29" s="38"/>
      <c r="D29" s="22"/>
      <c r="E29" s="1"/>
    </row>
    <row r="30" spans="1:5" x14ac:dyDescent="0.25">
      <c r="A30" s="1"/>
      <c r="B30" s="43" t="s">
        <v>186</v>
      </c>
      <c r="C30" s="10">
        <f>'Fane 7. Kontrol af ØR2018'!E32</f>
        <v>1396182.592852656</v>
      </c>
      <c r="D30" s="11" t="s">
        <v>3</v>
      </c>
      <c r="E30" s="1"/>
    </row>
    <row r="31" spans="1:5" x14ac:dyDescent="0.25">
      <c r="A31" s="1"/>
      <c r="B31" s="37" t="s">
        <v>229</v>
      </c>
      <c r="C31" s="38"/>
      <c r="D31" s="22"/>
      <c r="E31" s="1"/>
    </row>
    <row r="32" spans="1:5" x14ac:dyDescent="0.25">
      <c r="A32" s="1"/>
      <c r="B32" s="39" t="s">
        <v>230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7" t="s">
        <v>35</v>
      </c>
      <c r="C33" s="12">
        <f>SUM(C20,C22,C26,C28,C30,C32)</f>
        <v>119365684.81150708</v>
      </c>
      <c r="D33" s="13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4KfP7s5/asGSno3gFjfE0rF/PpqB/3CsetbfnUz3JJjAcwJnw7AnmpjYffDBSXSJC1EDAKS9cGJvjnNsfR9g9A==" saltValue="g9jCt0HJuv/7ITGJ5bOyK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20</v>
      </c>
      <c r="C8" s="38"/>
      <c r="D8" s="22"/>
      <c r="E8" s="1"/>
    </row>
    <row r="9" spans="1:5" ht="15" customHeight="1" x14ac:dyDescent="0.25">
      <c r="A9" s="1"/>
      <c r="B9" s="42" t="s">
        <v>36</v>
      </c>
      <c r="C9" s="7">
        <f>'Fane 2.1. Økonomisk ramme 2020'!C20</f>
        <v>52081281.87720672</v>
      </c>
      <c r="D9" s="8" t="s">
        <v>3</v>
      </c>
      <c r="E9" s="1"/>
    </row>
    <row r="10" spans="1:5" ht="15" customHeight="1" x14ac:dyDescent="0.25">
      <c r="A10" s="1"/>
      <c r="B10" s="47" t="s">
        <v>194</v>
      </c>
      <c r="C10" s="7">
        <f>('Fane 2.1. Økonomisk ramme 2020'!C10+'Fane 2.1. Økonomisk ramme 2020'!C12+'Fane 2.1. Økonomisk ramme 2020'!C14)*(1-'Fane 14. Nøgletal'!C25-'Fane 5. Individuelt eff. krav'!G10)*(1+'Fane 14. Nøgletal'!C12)</f>
        <v>-8435513.4200446885</v>
      </c>
      <c r="D10" s="8" t="s">
        <v>3</v>
      </c>
      <c r="E10" s="1"/>
    </row>
    <row r="11" spans="1:5" ht="15" customHeight="1" x14ac:dyDescent="0.25">
      <c r="A11" s="1"/>
      <c r="B11" s="47" t="s">
        <v>195</v>
      </c>
      <c r="C11" s="7">
        <f>('Fane 2.1. Økonomisk ramme 2020'!C11+'Fane 2.1. Økonomisk ramme 2020'!C13+'Fane 2.1. Økonomisk ramme 2020'!C15)*(1-'Fane 14. Nøgletal'!C20-'Fane 5. Individuelt eff. krav'!G10)*(1+'Fane 14. Nøgletal'!C12)</f>
        <v>0</v>
      </c>
      <c r="D11" s="8" t="s">
        <v>3</v>
      </c>
      <c r="E11" s="1"/>
    </row>
    <row r="12" spans="1:5" ht="15" customHeight="1" x14ac:dyDescent="0.25">
      <c r="A12" s="1"/>
      <c r="B12" s="32" t="s">
        <v>41</v>
      </c>
      <c r="C12" s="7">
        <f>-'Fane 12. Bortfald'!C18</f>
        <v>0</v>
      </c>
      <c r="D12" s="8" t="s">
        <v>3</v>
      </c>
      <c r="E12" s="1"/>
    </row>
    <row r="13" spans="1:5" ht="15" customHeight="1" x14ac:dyDescent="0.25">
      <c r="A13" s="1"/>
      <c r="B13" s="32" t="s">
        <v>40</v>
      </c>
      <c r="C13" s="7">
        <f>-'Fane 12. Bortfald'!E18</f>
        <v>0</v>
      </c>
      <c r="D13" s="8" t="s">
        <v>3</v>
      </c>
      <c r="E13" s="1"/>
    </row>
    <row r="14" spans="1:5" ht="15" customHeight="1" x14ac:dyDescent="0.25">
      <c r="A14" s="1"/>
      <c r="B14" s="36" t="s">
        <v>26</v>
      </c>
      <c r="C14" s="9">
        <f>(C9-SUM(C10:C11))*'Fane 14. Nøgletal'!C11+SUM(C10:C13)*'Fane 14. Nøgletal'!C12</f>
        <v>856554.22614866844</v>
      </c>
      <c r="D14" s="8" t="s">
        <v>3</v>
      </c>
      <c r="E14" s="1"/>
    </row>
    <row r="15" spans="1:5" ht="15" customHeight="1" x14ac:dyDescent="0.25">
      <c r="A15" s="1"/>
      <c r="B15" s="36" t="s">
        <v>10</v>
      </c>
      <c r="C15" s="9">
        <f>-SUM(C9,C12:C14)*'Fane 5. Individuelt eff. krav'!G10</f>
        <v>0</v>
      </c>
      <c r="D15" s="8" t="s">
        <v>3</v>
      </c>
      <c r="E15" s="1"/>
    </row>
    <row r="16" spans="1:5" ht="15" customHeight="1" x14ac:dyDescent="0.25">
      <c r="A16" s="1"/>
      <c r="B16" s="36" t="s">
        <v>38</v>
      </c>
      <c r="C16" s="9">
        <f>-'Fane 4.1. Gen. krav - drift'!G33</f>
        <v>-598724.48270757194</v>
      </c>
      <c r="D16" s="8" t="s">
        <v>3</v>
      </c>
      <c r="E16" s="1"/>
    </row>
    <row r="17" spans="1:5" ht="15" customHeight="1" x14ac:dyDescent="0.25">
      <c r="A17" s="1"/>
      <c r="B17" s="36" t="s">
        <v>39</v>
      </c>
      <c r="C17" s="9">
        <f>-'Fane 4.2. Gen. krav - anlæg'!G32</f>
        <v>-200113.53297381834</v>
      </c>
      <c r="D17" s="8" t="s">
        <v>3</v>
      </c>
      <c r="E17" s="1"/>
    </row>
    <row r="18" spans="1:5" ht="15" customHeight="1" x14ac:dyDescent="0.25">
      <c r="A18" s="1"/>
      <c r="B18" s="43" t="s">
        <v>28</v>
      </c>
      <c r="C18" s="10">
        <f>SUM(C9,C12:C17)</f>
        <v>52138998.087673992</v>
      </c>
      <c r="D18" s="11" t="s">
        <v>3</v>
      </c>
      <c r="E18" s="1"/>
    </row>
    <row r="19" spans="1:5" x14ac:dyDescent="0.25">
      <c r="A19" s="1"/>
      <c r="B19" s="37" t="s">
        <v>17</v>
      </c>
      <c r="C19" s="38"/>
      <c r="D19" s="22"/>
      <c r="E19" s="1"/>
    </row>
    <row r="20" spans="1:5" ht="15" customHeight="1" x14ac:dyDescent="0.25">
      <c r="A20" s="1"/>
      <c r="B20" s="39" t="s">
        <v>17</v>
      </c>
      <c r="C20" s="10">
        <f>'Fane 6. Ikke-påvirkelige omk.'!C18*(1+'Fane 14. Nøgletal'!C12)</f>
        <v>70744535.732695669</v>
      </c>
      <c r="D20" s="11" t="s">
        <v>3</v>
      </c>
      <c r="E20" s="1"/>
    </row>
    <row r="21" spans="1:5" ht="15" customHeight="1" x14ac:dyDescent="0.25">
      <c r="A21" s="1"/>
      <c r="B21" s="37" t="s">
        <v>142</v>
      </c>
      <c r="C21" s="38"/>
      <c r="D21" s="22"/>
      <c r="E21" s="1"/>
    </row>
    <row r="22" spans="1:5" ht="15" customHeight="1" x14ac:dyDescent="0.25">
      <c r="A22" s="1"/>
      <c r="B22" s="32" t="s">
        <v>138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32" t="s">
        <v>139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143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7" t="s">
        <v>160</v>
      </c>
      <c r="C25" s="38"/>
      <c r="D25" s="22"/>
      <c r="E25" s="1"/>
    </row>
    <row r="26" spans="1:5" ht="15" customHeight="1" x14ac:dyDescent="0.25">
      <c r="A26" s="1"/>
      <c r="B26" s="43" t="s">
        <v>186</v>
      </c>
      <c r="C26" s="10">
        <f>'Fane 2.1. Økonomisk ramme 2020'!C30</f>
        <v>1396182.592852656</v>
      </c>
      <c r="D26" s="11" t="s">
        <v>3</v>
      </c>
      <c r="E26" s="1"/>
    </row>
    <row r="27" spans="1:5" x14ac:dyDescent="0.25">
      <c r="A27" s="1"/>
      <c r="B27" s="37" t="s">
        <v>44</v>
      </c>
      <c r="C27" s="12">
        <f>SUM(C18,C20,C24,C26)</f>
        <v>124279716.41322231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u+qfZ2NcA84JCjdc7YeLXtVzoDDTF1MJ9ILdUFD9NaUgNqjdL/StoHjMMbFHDKSPWnxI3GfWxdUcm5286eP2g==" saltValue="TcPzePSXsBI/6h3Wrwiuf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196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20</v>
      </c>
      <c r="C7" s="38"/>
      <c r="D7" s="22"/>
      <c r="E7" s="1"/>
    </row>
    <row r="8" spans="1:5" ht="15" customHeight="1" x14ac:dyDescent="0.25">
      <c r="A8" s="1"/>
      <c r="B8" s="42" t="s">
        <v>37</v>
      </c>
      <c r="C8" s="7">
        <f>'Fane 2.2. Økonomisk ramme 2021'!C18</f>
        <v>52138998.087673992</v>
      </c>
      <c r="D8" s="8" t="s">
        <v>3</v>
      </c>
      <c r="E8" s="1"/>
    </row>
    <row r="9" spans="1:5" ht="15" customHeight="1" x14ac:dyDescent="0.25">
      <c r="A9" s="1"/>
      <c r="B9" s="47" t="s">
        <v>194</v>
      </c>
      <c r="C9" s="7">
        <f>'Fane 2.2. Økonomisk ramme 2021'!C10*(1-'Fane 14. Nøgletal'!C25-'Fane 5. Individuelt eff. krav'!G10)*(1+'Fane 14. Nøgletal'!C12)</f>
        <v>-8429659.173731178</v>
      </c>
      <c r="D9" s="8" t="s">
        <v>3</v>
      </c>
      <c r="E9" s="1"/>
    </row>
    <row r="10" spans="1:5" ht="15" customHeight="1" x14ac:dyDescent="0.25">
      <c r="A10" s="1"/>
      <c r="B10" s="47" t="s">
        <v>195</v>
      </c>
      <c r="C10" s="7">
        <f>'Fane 2.2. Økonomisk ramme 2021'!C11*(1-'Fane 14. Nøgletal'!C20-'Fane 5. Individuelt eff. krav'!G10)*(1+'Fane 14. Nøgletal'!C12)</f>
        <v>0</v>
      </c>
      <c r="D10" s="8" t="s">
        <v>3</v>
      </c>
      <c r="E10" s="1"/>
    </row>
    <row r="11" spans="1:5" ht="15" customHeight="1" x14ac:dyDescent="0.25">
      <c r="A11" s="1"/>
      <c r="B11" s="42" t="s">
        <v>41</v>
      </c>
      <c r="C11" s="7">
        <f>-'Fane 12. Bortfald'!C24</f>
        <v>0</v>
      </c>
      <c r="D11" s="8" t="s">
        <v>3</v>
      </c>
      <c r="E11" s="1"/>
    </row>
    <row r="12" spans="1:5" ht="15" customHeight="1" x14ac:dyDescent="0.25">
      <c r="A12" s="1"/>
      <c r="B12" s="42" t="s">
        <v>40</v>
      </c>
      <c r="C12" s="7">
        <f>-'Fane 12. Bortfald'!E24</f>
        <v>0</v>
      </c>
      <c r="D12" s="8" t="s">
        <v>3</v>
      </c>
      <c r="E12" s="1"/>
    </row>
    <row r="13" spans="1:5" ht="15" customHeight="1" x14ac:dyDescent="0.25">
      <c r="A13" s="1"/>
      <c r="B13" s="36" t="s">
        <v>26</v>
      </c>
      <c r="C13" s="9">
        <f>(C8-SUM(C9:C10))*'Fane 14. Nøgletal'!C11+SUM(C9:C12)*'Fane 14. Nøgletal'!C12</f>
        <v>857546.02199524315</v>
      </c>
      <c r="D13" s="8" t="s">
        <v>3</v>
      </c>
      <c r="E13" s="1"/>
    </row>
    <row r="14" spans="1:5" ht="15" customHeight="1" x14ac:dyDescent="0.25">
      <c r="A14" s="1"/>
      <c r="B14" s="36" t="s">
        <v>10</v>
      </c>
      <c r="C14" s="9">
        <f>-SUM(C8,C11:C13)*'Fane 5. Individuelt eff. krav'!G10</f>
        <v>0</v>
      </c>
      <c r="D14" s="8" t="s">
        <v>3</v>
      </c>
      <c r="E14" s="1"/>
    </row>
    <row r="15" spans="1:5" ht="15" customHeight="1" x14ac:dyDescent="0.25">
      <c r="A15" s="1"/>
      <c r="B15" s="36" t="s">
        <v>38</v>
      </c>
      <c r="C15" s="9">
        <f>-'Fane 4.1. Gen. krav - drift'!G41</f>
        <v>-596194.00702229433</v>
      </c>
      <c r="D15" s="8" t="s">
        <v>3</v>
      </c>
      <c r="E15" s="1"/>
    </row>
    <row r="16" spans="1:5" ht="15" customHeight="1" x14ac:dyDescent="0.25">
      <c r="A16" s="1"/>
      <c r="B16" s="36" t="s">
        <v>39</v>
      </c>
      <c r="C16" s="9">
        <f>-'Fane 4.2. Gen. krav - anlæg'!G40</f>
        <v>-201725.04125145052</v>
      </c>
      <c r="D16" s="8" t="s">
        <v>3</v>
      </c>
      <c r="E16" s="1"/>
    </row>
    <row r="17" spans="1:5" x14ac:dyDescent="0.25">
      <c r="A17" s="1"/>
      <c r="B17" s="43" t="s">
        <v>28</v>
      </c>
      <c r="C17" s="10">
        <f>SUM(C8,C11:C16)</f>
        <v>52198625.061395496</v>
      </c>
      <c r="D17" s="11" t="s">
        <v>3</v>
      </c>
      <c r="E17" s="1"/>
    </row>
    <row r="18" spans="1:5" x14ac:dyDescent="0.25">
      <c r="A18" s="1"/>
      <c r="B18" s="37" t="s">
        <v>17</v>
      </c>
      <c r="C18" s="38"/>
      <c r="D18" s="22"/>
      <c r="E18" s="1"/>
    </row>
    <row r="19" spans="1:5" ht="15" customHeight="1" x14ac:dyDescent="0.25">
      <c r="A19" s="1"/>
      <c r="B19" s="39" t="s">
        <v>17</v>
      </c>
      <c r="C19" s="10">
        <f>'Fane 6. Ikke-påvirkelige omk.'!C18*(1+'Fane 14. Nøgletal'!C12)^2</f>
        <v>72138203.086629778</v>
      </c>
      <c r="D19" s="11" t="s">
        <v>3</v>
      </c>
      <c r="E19" s="1"/>
    </row>
    <row r="20" spans="1:5" ht="15" customHeight="1" x14ac:dyDescent="0.25">
      <c r="A20" s="1"/>
      <c r="B20" s="37" t="s">
        <v>142</v>
      </c>
      <c r="C20" s="38"/>
      <c r="D20" s="22"/>
      <c r="E20" s="1"/>
    </row>
    <row r="21" spans="1:5" ht="15" customHeight="1" x14ac:dyDescent="0.25">
      <c r="A21" s="1"/>
      <c r="B21" s="32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32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9" t="s">
        <v>143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160</v>
      </c>
      <c r="C24" s="38"/>
      <c r="D24" s="22"/>
      <c r="E24" s="1"/>
    </row>
    <row r="25" spans="1:5" ht="15" customHeight="1" x14ac:dyDescent="0.25">
      <c r="A25" s="1"/>
      <c r="B25" s="43" t="s">
        <v>186</v>
      </c>
      <c r="C25" s="10">
        <f>'Fane 2.2. Økonomisk ramme 2021'!C26</f>
        <v>1396182.592852656</v>
      </c>
      <c r="D25" s="11" t="s">
        <v>3</v>
      </c>
      <c r="E25" s="1"/>
    </row>
    <row r="26" spans="1:5" x14ac:dyDescent="0.25">
      <c r="A26" s="1"/>
      <c r="B26" s="37" t="s">
        <v>45</v>
      </c>
      <c r="C26" s="12">
        <f>SUM(C17,C19,C23,C25)</f>
        <v>125733010.74087793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hN5xHvSt2uHtnO66YUxZw15gQi6gHvR+t3pUoxHlF8A1XXJsSkJyEfj+JlUE7gjAXtEIRe6SM21IjyDNHUYww==" saltValue="VEgfGWT6F5NDvCaRvL0W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197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20</v>
      </c>
      <c r="C7" s="38"/>
      <c r="D7" s="22"/>
      <c r="E7" s="1"/>
    </row>
    <row r="8" spans="1:5" ht="15" customHeight="1" x14ac:dyDescent="0.25">
      <c r="A8" s="1"/>
      <c r="B8" s="42" t="s">
        <v>253</v>
      </c>
      <c r="C8" s="7">
        <f>'Fane 2.3. Økonomisk ramme 2022'!C17</f>
        <v>52198625.061395496</v>
      </c>
      <c r="D8" s="8" t="s">
        <v>3</v>
      </c>
      <c r="E8" s="1"/>
    </row>
    <row r="9" spans="1:5" ht="15" customHeight="1" x14ac:dyDescent="0.25">
      <c r="A9" s="1"/>
      <c r="B9" s="42" t="s">
        <v>41</v>
      </c>
      <c r="C9" s="7">
        <f>-'Fane 12. Bortfald'!C30</f>
        <v>0</v>
      </c>
      <c r="D9" s="8" t="s">
        <v>3</v>
      </c>
      <c r="E9" s="1"/>
    </row>
    <row r="10" spans="1:5" ht="15" customHeight="1" x14ac:dyDescent="0.25">
      <c r="A10" s="1"/>
      <c r="B10" s="42" t="s">
        <v>40</v>
      </c>
      <c r="C10" s="7">
        <f>-'Fane 12. Bortfald'!E30</f>
        <v>0</v>
      </c>
      <c r="D10" s="8" t="s">
        <v>3</v>
      </c>
      <c r="E10" s="1"/>
    </row>
    <row r="11" spans="1:5" ht="15" customHeight="1" x14ac:dyDescent="0.25">
      <c r="A11" s="1"/>
      <c r="B11" s="36" t="s">
        <v>26</v>
      </c>
      <c r="C11" s="9">
        <f>C8*'Fane 14. Nøgletal'!C12</f>
        <v>1028312.9137094913</v>
      </c>
      <c r="D11" s="8" t="s">
        <v>3</v>
      </c>
      <c r="E11" s="1"/>
    </row>
    <row r="12" spans="1:5" ht="15" customHeight="1" x14ac:dyDescent="0.25">
      <c r="A12" s="1"/>
      <c r="B12" s="36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6" t="s">
        <v>38</v>
      </c>
      <c r="C13" s="9">
        <f>-'Fane 4.1. Gen. krav - drift'!G47</f>
        <v>-595780.24838142085</v>
      </c>
      <c r="D13" s="8" t="s">
        <v>3</v>
      </c>
      <c r="E13" s="1"/>
    </row>
    <row r="14" spans="1:5" ht="15" customHeight="1" x14ac:dyDescent="0.25">
      <c r="A14" s="1"/>
      <c r="B14" s="36" t="s">
        <v>39</v>
      </c>
      <c r="C14" s="9">
        <f>-'Fane 4.2. Gen. krav - anlæg'!G46</f>
        <v>-665635.4232909492</v>
      </c>
      <c r="D14" s="8" t="s">
        <v>3</v>
      </c>
      <c r="E14" s="1"/>
    </row>
    <row r="15" spans="1:5" x14ac:dyDescent="0.25">
      <c r="A15" s="1"/>
      <c r="B15" s="43" t="s">
        <v>28</v>
      </c>
      <c r="C15" s="10">
        <f>SUM(C8:C14)</f>
        <v>51965522.303432621</v>
      </c>
      <c r="D15" s="11" t="s">
        <v>3</v>
      </c>
      <c r="E15" s="1"/>
    </row>
    <row r="16" spans="1:5" x14ac:dyDescent="0.25">
      <c r="A16" s="1"/>
      <c r="B16" s="37" t="s">
        <v>17</v>
      </c>
      <c r="C16" s="38"/>
      <c r="D16" s="22"/>
      <c r="E16" s="1"/>
    </row>
    <row r="17" spans="1:5" ht="15" customHeight="1" x14ac:dyDescent="0.25">
      <c r="A17" s="1"/>
      <c r="B17" s="39" t="s">
        <v>17</v>
      </c>
      <c r="C17" s="10">
        <f>'Fane 6. Ikke-påvirkelige omk.'!C18*(1+'Fane 14. Nøgletal'!C12)^3</f>
        <v>73559325.687436387</v>
      </c>
      <c r="D17" s="11" t="s">
        <v>3</v>
      </c>
      <c r="E17" s="1"/>
    </row>
    <row r="18" spans="1:5" ht="15" customHeight="1" x14ac:dyDescent="0.25">
      <c r="A18" s="1"/>
      <c r="B18" s="37" t="s">
        <v>142</v>
      </c>
      <c r="C18" s="38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7" t="s">
        <v>160</v>
      </c>
      <c r="C22" s="38"/>
      <c r="D22" s="22"/>
      <c r="E22" s="1"/>
    </row>
    <row r="23" spans="1:5" ht="15" customHeight="1" x14ac:dyDescent="0.25">
      <c r="A23" s="1"/>
      <c r="B23" s="43" t="s">
        <v>188</v>
      </c>
      <c r="C23" s="10">
        <f>'Fane 7. Kontrol af ØR2018'!E39</f>
        <v>-1433875.8843519613</v>
      </c>
      <c r="D23" s="11" t="s">
        <v>3</v>
      </c>
      <c r="E23" s="1"/>
    </row>
    <row r="24" spans="1:5" x14ac:dyDescent="0.25">
      <c r="A24" s="1"/>
      <c r="B24" s="37" t="s">
        <v>154</v>
      </c>
      <c r="C24" s="12">
        <f>SUM(C15,C17,C21,C23)</f>
        <v>124090972.10651705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AgRMkNcY9JZ5wlMVy/Pwdbg28CnpYj+fjCPDer7qKB3hpbW6OZiRyLFY3yehTdy/dPOdgjSqqCzLlF88anPAg==" saltValue="KeceAnKrBDCcwp2YiZjGd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topLeftCell="A7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224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84</v>
      </c>
      <c r="C8" s="38"/>
      <c r="D8" s="38"/>
      <c r="E8" s="38"/>
      <c r="F8" s="22"/>
      <c r="G8" s="1"/>
    </row>
    <row r="9" spans="1:7" x14ac:dyDescent="0.25">
      <c r="A9" s="1"/>
      <c r="B9" s="91" t="s">
        <v>81</v>
      </c>
      <c r="C9" s="92"/>
      <c r="D9" s="93"/>
      <c r="E9" s="7">
        <v>60620122.180396475</v>
      </c>
      <c r="F9" s="8" t="s">
        <v>3</v>
      </c>
      <c r="G9" s="1"/>
    </row>
    <row r="10" spans="1:7" x14ac:dyDescent="0.25">
      <c r="A10" s="1"/>
      <c r="B10" s="91" t="s">
        <v>82</v>
      </c>
      <c r="C10" s="92"/>
      <c r="D10" s="93"/>
      <c r="E10" s="7">
        <v>0</v>
      </c>
      <c r="F10" s="8" t="s">
        <v>3</v>
      </c>
      <c r="G10" s="1"/>
    </row>
    <row r="11" spans="1:7" x14ac:dyDescent="0.25">
      <c r="A11" s="1"/>
      <c r="B11" s="91" t="s">
        <v>83</v>
      </c>
      <c r="C11" s="92"/>
      <c r="D11" s="93"/>
      <c r="E11" s="7">
        <v>-392390.9131230053</v>
      </c>
      <c r="F11" s="8" t="s">
        <v>3</v>
      </c>
      <c r="G11" s="1"/>
    </row>
    <row r="12" spans="1:7" x14ac:dyDescent="0.25">
      <c r="A12" s="1"/>
      <c r="B12" s="78" t="s">
        <v>67</v>
      </c>
      <c r="C12" s="79"/>
      <c r="D12" s="80"/>
      <c r="E12" s="7">
        <v>0</v>
      </c>
      <c r="F12" s="8" t="s">
        <v>3</v>
      </c>
      <c r="G12" s="1"/>
    </row>
    <row r="13" spans="1:7" x14ac:dyDescent="0.25">
      <c r="A13" s="1"/>
      <c r="B13" s="78" t="s">
        <v>68</v>
      </c>
      <c r="C13" s="79"/>
      <c r="D13" s="80"/>
      <c r="E13" s="9">
        <v>191043.98609999998</v>
      </c>
      <c r="F13" s="8" t="s">
        <v>3</v>
      </c>
      <c r="G13" s="1"/>
    </row>
    <row r="14" spans="1:7" x14ac:dyDescent="0.25">
      <c r="A14" s="1"/>
      <c r="B14" s="78" t="s">
        <v>41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40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43</v>
      </c>
      <c r="C16" s="79"/>
      <c r="D16" s="80"/>
      <c r="E16" s="9">
        <v>0</v>
      </c>
      <c r="F16" s="8" t="s">
        <v>3</v>
      </c>
      <c r="G16" s="1"/>
    </row>
    <row r="17" spans="1:7" x14ac:dyDescent="0.25">
      <c r="A17" s="1"/>
      <c r="B17" s="78" t="s">
        <v>42</v>
      </c>
      <c r="C17" s="79"/>
      <c r="D17" s="80"/>
      <c r="E17" s="9">
        <v>0</v>
      </c>
      <c r="F17" s="8" t="s">
        <v>3</v>
      </c>
      <c r="G17" s="1"/>
    </row>
    <row r="18" spans="1:7" x14ac:dyDescent="0.25">
      <c r="A18" s="1"/>
      <c r="B18" s="78" t="s">
        <v>26</v>
      </c>
      <c r="C18" s="79"/>
      <c r="D18" s="80"/>
      <c r="E18" s="9">
        <f>SUM(E9:E17)*'Fane 14. Nøgletal'!C11</f>
        <v>1021077.3017820116</v>
      </c>
      <c r="F18" s="8" t="s">
        <v>3</v>
      </c>
      <c r="G18" s="1"/>
    </row>
    <row r="19" spans="1:7" x14ac:dyDescent="0.25">
      <c r="A19" s="1"/>
      <c r="B19" s="78" t="s">
        <v>10</v>
      </c>
      <c r="C19" s="79"/>
      <c r="D19" s="80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8" t="s">
        <v>38</v>
      </c>
      <c r="C20" s="79"/>
      <c r="D20" s="80"/>
      <c r="E20" s="9">
        <f>-'Fane 4.1. Gen. krav - drift'!G20</f>
        <v>-776085.53432000149</v>
      </c>
      <c r="F20" s="8" t="s">
        <v>3</v>
      </c>
      <c r="G20" s="1"/>
    </row>
    <row r="21" spans="1:7" x14ac:dyDescent="0.25">
      <c r="A21" s="1"/>
      <c r="B21" s="78" t="s">
        <v>39</v>
      </c>
      <c r="C21" s="79"/>
      <c r="D21" s="80"/>
      <c r="E21" s="9">
        <f>-'Fane 4.2. Gen. krav - anlæg'!G19</f>
        <v>-196929.03484231699</v>
      </c>
      <c r="F21" s="8" t="s">
        <v>3</v>
      </c>
      <c r="G21" s="1"/>
    </row>
    <row r="22" spans="1:7" x14ac:dyDescent="0.25">
      <c r="A22" s="1"/>
      <c r="B22" s="81" t="s">
        <v>28</v>
      </c>
      <c r="C22" s="82"/>
      <c r="D22" s="83"/>
      <c r="E22" s="10">
        <f>SUM(E9:E21)</f>
        <v>60466837.985993162</v>
      </c>
      <c r="F22" s="11" t="s">
        <v>3</v>
      </c>
      <c r="G22" s="1"/>
    </row>
    <row r="23" spans="1:7" x14ac:dyDescent="0.25">
      <c r="A23" s="1"/>
      <c r="B23" s="94" t="s">
        <v>17</v>
      </c>
      <c r="C23" s="95"/>
      <c r="D23" s="95"/>
      <c r="E23" s="38"/>
      <c r="F23" s="22"/>
      <c r="G23" s="1"/>
    </row>
    <row r="24" spans="1:7" x14ac:dyDescent="0.25">
      <c r="A24" s="1"/>
      <c r="B24" s="84" t="s">
        <v>17</v>
      </c>
      <c r="C24" s="85"/>
      <c r="D24" s="86"/>
      <c r="E24" s="10">
        <v>54117285.146109857</v>
      </c>
      <c r="F24" s="11" t="s">
        <v>3</v>
      </c>
      <c r="G24" s="1"/>
    </row>
    <row r="25" spans="1:7" x14ac:dyDescent="0.25">
      <c r="A25" s="1"/>
      <c r="B25" s="37" t="s">
        <v>131</v>
      </c>
      <c r="C25" s="38"/>
      <c r="D25" s="38"/>
      <c r="E25" s="38"/>
      <c r="F25" s="22"/>
      <c r="G25" s="1"/>
    </row>
    <row r="26" spans="1:7" ht="27" customHeight="1" x14ac:dyDescent="0.25">
      <c r="A26" s="1"/>
      <c r="B26" s="87" t="s">
        <v>133</v>
      </c>
      <c r="C26" s="88"/>
      <c r="D26" s="89"/>
      <c r="E26" s="10">
        <v>257769.78107822649</v>
      </c>
      <c r="F26" s="11" t="s">
        <v>3</v>
      </c>
      <c r="G26" s="1"/>
    </row>
    <row r="27" spans="1:7" x14ac:dyDescent="0.25">
      <c r="A27" s="1"/>
      <c r="B27" s="37" t="s">
        <v>11</v>
      </c>
      <c r="C27" s="38"/>
      <c r="D27" s="38"/>
      <c r="E27" s="38"/>
      <c r="F27" s="22"/>
      <c r="G27" s="1"/>
    </row>
    <row r="28" spans="1:7" x14ac:dyDescent="0.25">
      <c r="A28" s="1"/>
      <c r="B28" s="84" t="s">
        <v>19</v>
      </c>
      <c r="C28" s="85"/>
      <c r="D28" s="86"/>
      <c r="E28" s="10">
        <v>-3489572</v>
      </c>
      <c r="F28" s="11" t="s">
        <v>3</v>
      </c>
      <c r="G28" s="1"/>
    </row>
    <row r="29" spans="1:7" x14ac:dyDescent="0.25">
      <c r="A29" s="1"/>
      <c r="B29" s="37" t="s">
        <v>160</v>
      </c>
      <c r="C29" s="38"/>
      <c r="D29" s="38"/>
      <c r="E29" s="38"/>
      <c r="F29" s="22"/>
      <c r="G29" s="1"/>
    </row>
    <row r="30" spans="1:7" x14ac:dyDescent="0.25">
      <c r="A30" s="1"/>
      <c r="B30" s="84" t="s">
        <v>132</v>
      </c>
      <c r="C30" s="85"/>
      <c r="D30" s="86"/>
      <c r="E30" s="10">
        <v>1469038.3439449451</v>
      </c>
      <c r="F30" s="11" t="s">
        <v>3</v>
      </c>
      <c r="G30" s="1"/>
    </row>
    <row r="31" spans="1:7" x14ac:dyDescent="0.25">
      <c r="A31" s="1"/>
      <c r="B31" s="37" t="s">
        <v>23</v>
      </c>
      <c r="C31" s="38"/>
      <c r="D31" s="38"/>
      <c r="E31" s="12">
        <f>SUM(E28,E26,E24,E22,E30)</f>
        <v>112821359.2571262</v>
      </c>
      <c r="F31" s="13" t="s">
        <v>3</v>
      </c>
      <c r="G31" s="1"/>
    </row>
    <row r="32" spans="1:7" ht="28.15" customHeight="1" x14ac:dyDescent="0.25">
      <c r="A32" s="1"/>
      <c r="B32" s="75" t="s">
        <v>187</v>
      </c>
      <c r="C32" s="76"/>
      <c r="D32" s="76"/>
      <c r="E32" s="76"/>
      <c r="F32" s="77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bijC1lhjFUzH4JNFbuShPC/V40xiTgVmOFZDDOa2FFSdL9mQgKKCQ9yvGGoWtE+hT9vM2J/dZbQDiSqql7Bdw==" saltValue="rTeY6d3jLMJr7nCYcitNz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3" t="s">
        <v>198</v>
      </c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96" t="s">
        <v>97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99" t="s">
        <v>86</v>
      </c>
      <c r="C6" s="100"/>
      <c r="D6" s="100"/>
      <c r="E6" s="100"/>
      <c r="F6" s="101"/>
      <c r="G6" s="26">
        <v>39234523.653842919</v>
      </c>
      <c r="H6" s="14" t="s">
        <v>3</v>
      </c>
      <c r="I6" s="1"/>
    </row>
    <row r="7" spans="1:9" x14ac:dyDescent="0.25">
      <c r="A7" s="1"/>
      <c r="B7" s="99" t="s">
        <v>87</v>
      </c>
      <c r="C7" s="100"/>
      <c r="D7" s="100"/>
      <c r="E7" s="100"/>
      <c r="F7" s="101"/>
      <c r="G7" s="26">
        <f>G6*'Fane 14. Nøgletal'!C25</f>
        <v>784690.47307685844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98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88</v>
      </c>
      <c r="C11" s="100"/>
      <c r="D11" s="100"/>
      <c r="E11" s="100"/>
      <c r="F11" s="101"/>
      <c r="G11" s="26">
        <f>(G6-G7)*(1+'Fane 14. Nøgletal'!C9)</f>
        <v>38938146.062161788</v>
      </c>
      <c r="H11" s="14" t="s">
        <v>3</v>
      </c>
      <c r="I11" s="1"/>
    </row>
    <row r="12" spans="1:9" x14ac:dyDescent="0.25">
      <c r="A12" s="1"/>
      <c r="B12" s="102" t="s">
        <v>89</v>
      </c>
      <c r="C12" s="103"/>
      <c r="D12" s="103"/>
      <c r="E12" s="103"/>
      <c r="F12" s="104"/>
      <c r="G12" s="26">
        <v>0</v>
      </c>
      <c r="H12" s="14" t="s">
        <v>3</v>
      </c>
      <c r="I12" s="1"/>
    </row>
    <row r="13" spans="1:9" x14ac:dyDescent="0.25">
      <c r="A13" s="1"/>
      <c r="B13" s="99" t="s">
        <v>90</v>
      </c>
      <c r="C13" s="100"/>
      <c r="D13" s="100"/>
      <c r="E13" s="100"/>
      <c r="F13" s="101"/>
      <c r="G13" s="26">
        <f>(G11+G12)*'Fane 14. Nøgletal'!C25</f>
        <v>778762.92124323582</v>
      </c>
      <c r="H13" s="14" t="s">
        <v>3</v>
      </c>
      <c r="I13" s="1"/>
    </row>
    <row r="14" spans="1:9" x14ac:dyDescent="0.25">
      <c r="A14" s="1"/>
      <c r="B14" s="37"/>
      <c r="C14" s="38"/>
      <c r="D14" s="38"/>
      <c r="E14" s="38"/>
      <c r="F14" s="38"/>
      <c r="G14" s="38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6" t="s">
        <v>99</v>
      </c>
      <c r="C16" s="97"/>
      <c r="D16" s="97"/>
      <c r="E16" s="97"/>
      <c r="F16" s="97"/>
      <c r="G16" s="97"/>
      <c r="H16" s="98"/>
      <c r="I16" s="1"/>
    </row>
    <row r="17" spans="1:9" x14ac:dyDescent="0.25">
      <c r="A17" s="1"/>
      <c r="B17" s="99" t="s">
        <v>91</v>
      </c>
      <c r="C17" s="100"/>
      <c r="D17" s="100"/>
      <c r="E17" s="100"/>
      <c r="F17" s="101"/>
      <c r="G17" s="26">
        <f>(G11+G12-G13)*(1+'Fane 14. Nøgletal'!C11)</f>
        <v>38804276.716000073</v>
      </c>
      <c r="H17" s="14" t="s">
        <v>3</v>
      </c>
      <c r="I17" s="1"/>
    </row>
    <row r="18" spans="1:9" x14ac:dyDescent="0.25">
      <c r="A18" s="1"/>
      <c r="B18" s="99" t="s">
        <v>225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102" t="s">
        <v>92</v>
      </c>
      <c r="C19" s="103"/>
      <c r="D19" s="103"/>
      <c r="E19" s="103"/>
      <c r="F19" s="104"/>
      <c r="G19" s="26">
        <v>0</v>
      </c>
      <c r="H19" s="14" t="s">
        <v>3</v>
      </c>
      <c r="I19" s="1"/>
    </row>
    <row r="20" spans="1:9" x14ac:dyDescent="0.25">
      <c r="A20" s="1"/>
      <c r="B20" s="99" t="s">
        <v>93</v>
      </c>
      <c r="C20" s="100"/>
      <c r="D20" s="100"/>
      <c r="E20" s="100"/>
      <c r="F20" s="101"/>
      <c r="G20" s="26">
        <f>SUM(G17:G19)*'Fane 14. Nøgletal'!C25</f>
        <v>776085.53432000149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6" t="s">
        <v>100</v>
      </c>
      <c r="C23" s="97"/>
      <c r="D23" s="97"/>
      <c r="E23" s="97"/>
      <c r="F23" s="97"/>
      <c r="G23" s="97"/>
      <c r="H23" s="98"/>
      <c r="I23" s="1"/>
    </row>
    <row r="24" spans="1:9" x14ac:dyDescent="0.25">
      <c r="A24" s="1"/>
      <c r="B24" s="99" t="s">
        <v>94</v>
      </c>
      <c r="C24" s="100"/>
      <c r="D24" s="100"/>
      <c r="E24" s="100"/>
      <c r="F24" s="101"/>
      <c r="G24" s="26">
        <f>(G17+G18+G19-G20)*(1+'Fane 14. Nøgletal'!C11)</f>
        <v>38670867.612650461</v>
      </c>
      <c r="H24" s="14" t="s">
        <v>3</v>
      </c>
      <c r="I24" s="1"/>
    </row>
    <row r="25" spans="1:9" x14ac:dyDescent="0.25">
      <c r="A25" s="1"/>
      <c r="B25" s="102" t="s">
        <v>95</v>
      </c>
      <c r="C25" s="103"/>
      <c r="D25" s="103"/>
      <c r="E25" s="103"/>
      <c r="F25" s="104"/>
      <c r="G25" s="26">
        <f>('Fane 2.1. Økonomisk ramme 2020'!C10+'Fane 2.1. Økonomisk ramme 2020'!C12+'Fane 2.1. Økonomisk ramme 2020'!C14)*(1+'Fane 14. Nøgletal'!C12)</f>
        <v>-8607666.7551476415</v>
      </c>
      <c r="H25" s="14" t="s">
        <v>3</v>
      </c>
      <c r="I25" s="1"/>
    </row>
    <row r="26" spans="1:9" x14ac:dyDescent="0.25">
      <c r="A26" s="1"/>
      <c r="B26" s="99" t="s">
        <v>96</v>
      </c>
      <c r="C26" s="100"/>
      <c r="D26" s="100"/>
      <c r="E26" s="100"/>
      <c r="F26" s="101"/>
      <c r="G26" s="26">
        <f>(G24+G25)*'Fane 14. Nøgletal'!C25</f>
        <v>601264.01715005643</v>
      </c>
      <c r="H26" s="14" t="s">
        <v>3</v>
      </c>
      <c r="I26" s="1"/>
    </row>
    <row r="27" spans="1:9" x14ac:dyDescent="0.25">
      <c r="A27" s="1"/>
      <c r="B27" s="37"/>
      <c r="C27" s="38"/>
      <c r="D27" s="38"/>
      <c r="E27" s="38"/>
      <c r="F27" s="38"/>
      <c r="G27" s="38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6" t="s">
        <v>103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99" t="s">
        <v>104</v>
      </c>
      <c r="C30" s="100"/>
      <c r="D30" s="100"/>
      <c r="E30" s="100"/>
      <c r="F30" s="101"/>
      <c r="G30" s="26">
        <f>G24*(1-'Fane 14. Nøgletal'!C25)*(1+'Fane 14. Nøgletal'!C11)+G25*(1-'Fane 14. Nøgletal'!C25)*(1+'Fane 14. Nøgletal'!C12)</f>
        <v>29936224.135378595</v>
      </c>
      <c r="H30" s="14" t="s">
        <v>3</v>
      </c>
      <c r="I30" s="1"/>
    </row>
    <row r="31" spans="1:9" x14ac:dyDescent="0.25">
      <c r="A31" s="1"/>
      <c r="B31" s="105" t="s">
        <v>218</v>
      </c>
      <c r="C31" s="106"/>
      <c r="D31" s="106"/>
      <c r="E31" s="106"/>
      <c r="F31" s="107"/>
      <c r="G31" s="26">
        <f>G25*(1-'Fane 14. Nøgletal'!C25)*(1+'Fane 14. Nøgletal'!C12)</f>
        <v>-8601693.0344195701</v>
      </c>
      <c r="H31" s="14" t="s">
        <v>3</v>
      </c>
      <c r="I31" s="1"/>
    </row>
    <row r="32" spans="1:9" x14ac:dyDescent="0.25">
      <c r="A32" s="1"/>
      <c r="B32" s="99" t="s">
        <v>145</v>
      </c>
      <c r="C32" s="100"/>
      <c r="D32" s="100"/>
      <c r="E32" s="100"/>
      <c r="F32" s="101"/>
      <c r="G32" s="26">
        <f>-'Fane 12. Bortfald'!C18*(1+'Fane 14. Nøgletal'!C12)</f>
        <v>0</v>
      </c>
      <c r="H32" s="14" t="s">
        <v>3</v>
      </c>
      <c r="I32" s="1"/>
    </row>
    <row r="33" spans="1:9" x14ac:dyDescent="0.25">
      <c r="A33" s="1"/>
      <c r="B33" s="99" t="s">
        <v>105</v>
      </c>
      <c r="C33" s="100"/>
      <c r="D33" s="100"/>
      <c r="E33" s="100"/>
      <c r="F33" s="101"/>
      <c r="G33" s="26">
        <f>(G30+G32)*'Fane 14. Nøgletal'!C25</f>
        <v>598724.48270757194</v>
      </c>
      <c r="H33" s="14" t="s">
        <v>3</v>
      </c>
      <c r="I33" s="1"/>
    </row>
    <row r="34" spans="1:9" x14ac:dyDescent="0.25">
      <c r="A34" s="1"/>
      <c r="B34" s="37"/>
      <c r="C34" s="38"/>
      <c r="D34" s="38"/>
      <c r="E34" s="38"/>
      <c r="F34" s="38"/>
      <c r="G34" s="38"/>
      <c r="H34" s="22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6" t="s">
        <v>193</v>
      </c>
      <c r="C36" s="97"/>
      <c r="D36" s="97"/>
      <c r="E36" s="97"/>
      <c r="F36" s="97"/>
      <c r="G36" s="97"/>
      <c r="H36" s="98"/>
      <c r="I36" s="1"/>
    </row>
    <row r="37" spans="1:9" x14ac:dyDescent="0.25">
      <c r="A37" s="1"/>
      <c r="B37" s="99" t="s">
        <v>128</v>
      </c>
      <c r="C37" s="100"/>
      <c r="D37" s="100"/>
      <c r="E37" s="100"/>
      <c r="F37" s="101"/>
      <c r="G37" s="26">
        <f>(G30-G31)*(1-'Fane 14. Nøgletal'!C25)*(1+'Fane 14. Nøgletal'!C11)+(G31+G32)*(1-'Fane 14. Nøgletal'!C25)*(1+'Fane 14. Nøgletal'!C12)</f>
        <v>29809700.351114716</v>
      </c>
      <c r="H37" s="14" t="s">
        <v>3</v>
      </c>
      <c r="I37" s="1"/>
    </row>
    <row r="38" spans="1:9" x14ac:dyDescent="0.25">
      <c r="A38" s="1"/>
      <c r="B38" s="105" t="s">
        <v>218</v>
      </c>
      <c r="C38" s="106"/>
      <c r="D38" s="106"/>
      <c r="E38" s="106"/>
      <c r="F38" s="107"/>
      <c r="G38" s="26">
        <f>G31*(1-'Fane 14. Nøgletal'!C25)*(1+'Fane 14. Nøgletal'!C12)</f>
        <v>-8595723.4594536833</v>
      </c>
      <c r="H38" s="14" t="s">
        <v>3</v>
      </c>
      <c r="I38" s="1"/>
    </row>
    <row r="39" spans="1:9" x14ac:dyDescent="0.25">
      <c r="A39" s="1"/>
      <c r="B39" s="105" t="s">
        <v>219</v>
      </c>
      <c r="C39" s="100"/>
      <c r="D39" s="100"/>
      <c r="E39" s="100"/>
      <c r="F39" s="101"/>
      <c r="G39" s="26">
        <f>G32*(1-'Fane 14. Nøgletal'!C25)*(1+'Fane 14. Nøgletal'!C12)</f>
        <v>0</v>
      </c>
      <c r="H39" s="14" t="s">
        <v>3</v>
      </c>
      <c r="I39" s="1"/>
    </row>
    <row r="40" spans="1:9" x14ac:dyDescent="0.25">
      <c r="A40" s="1"/>
      <c r="B40" s="99" t="s">
        <v>146</v>
      </c>
      <c r="C40" s="100"/>
      <c r="D40" s="100"/>
      <c r="E40" s="100"/>
      <c r="F40" s="101"/>
      <c r="G40" s="26">
        <f>-'Fane 12. Bortfald'!C24*(1+'Fane 14. Nøgletal'!C12)</f>
        <v>0</v>
      </c>
      <c r="H40" s="14" t="s">
        <v>3</v>
      </c>
      <c r="I40" s="1"/>
    </row>
    <row r="41" spans="1:9" x14ac:dyDescent="0.25">
      <c r="A41" s="1"/>
      <c r="B41" s="99" t="s">
        <v>220</v>
      </c>
      <c r="C41" s="100"/>
      <c r="D41" s="100"/>
      <c r="E41" s="100"/>
      <c r="F41" s="101"/>
      <c r="G41" s="26">
        <f>(G37+G40)*'Fane 14. Nøgletal'!C25</f>
        <v>596194.00702229433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2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6" t="s">
        <v>129</v>
      </c>
      <c r="C44" s="97"/>
      <c r="D44" s="97"/>
      <c r="E44" s="97"/>
      <c r="F44" s="97"/>
      <c r="G44" s="97"/>
      <c r="H44" s="98"/>
      <c r="I44" s="1"/>
    </row>
    <row r="45" spans="1:9" x14ac:dyDescent="0.25">
      <c r="A45" s="1"/>
      <c r="B45" s="99" t="s">
        <v>127</v>
      </c>
      <c r="C45" s="100"/>
      <c r="D45" s="100"/>
      <c r="E45" s="100"/>
      <c r="F45" s="101"/>
      <c r="G45" s="26">
        <f>(G37-G41)*(1+'Fane 14. Nøgletal'!C12)</f>
        <v>29789012.419071045</v>
      </c>
      <c r="H45" s="14" t="s">
        <v>3</v>
      </c>
      <c r="I45" s="1"/>
    </row>
    <row r="46" spans="1:9" x14ac:dyDescent="0.25">
      <c r="A46" s="1"/>
      <c r="B46" s="99" t="s">
        <v>147</v>
      </c>
      <c r="C46" s="100"/>
      <c r="D46" s="100"/>
      <c r="E46" s="100"/>
      <c r="F46" s="101"/>
      <c r="G46" s="26">
        <f>-'Fane 12. Bortfald'!C30*(1+'Fane 14. Nøgletal'!C12)</f>
        <v>0</v>
      </c>
      <c r="H46" s="14" t="s">
        <v>3</v>
      </c>
      <c r="I46" s="1"/>
    </row>
    <row r="47" spans="1:9" x14ac:dyDescent="0.25">
      <c r="A47" s="1"/>
      <c r="B47" s="99" t="s">
        <v>106</v>
      </c>
      <c r="C47" s="100"/>
      <c r="D47" s="100"/>
      <c r="E47" s="100"/>
      <c r="F47" s="101"/>
      <c r="G47" s="26">
        <f>(G45+G46)*'Fane 14. Nøgletal'!C25</f>
        <v>595780.24838142085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2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SRkHwwOSJP3ORdjoq78ZCO/vLMPblMNe1I/hXnoKcWOGOtCtGXaXB3w6kr89ndJA7vghhzoz7FhtVcnjN5dEw==" saltValue="xmYPCJJXvlzpHDGJgrsaHA==" spinCount="100000" sheet="1" objects="1" scenarios="1"/>
  <mergeCells count="32">
    <mergeCell ref="B29:H29"/>
    <mergeCell ref="B30:F30"/>
    <mergeCell ref="B36:H36"/>
    <mergeCell ref="B41:F41"/>
    <mergeCell ref="B20:F20"/>
    <mergeCell ref="B24:F24"/>
    <mergeCell ref="B25:F25"/>
    <mergeCell ref="B26:F26"/>
    <mergeCell ref="B37:F37"/>
    <mergeCell ref="B32:F32"/>
    <mergeCell ref="B33:F33"/>
    <mergeCell ref="B31:F31"/>
    <mergeCell ref="B38:F38"/>
    <mergeCell ref="B39:F39"/>
    <mergeCell ref="B16:H16"/>
    <mergeCell ref="B23:H23"/>
    <mergeCell ref="B12:F12"/>
    <mergeCell ref="B13:F13"/>
    <mergeCell ref="B17:F17"/>
    <mergeCell ref="B19:F19"/>
    <mergeCell ref="B18:F18"/>
    <mergeCell ref="B44:H44"/>
    <mergeCell ref="B45:F45"/>
    <mergeCell ref="B47:F47"/>
    <mergeCell ref="B40:F40"/>
    <mergeCell ref="B46:F46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8" t="s">
        <v>199</v>
      </c>
      <c r="C2" s="108"/>
      <c r="D2" s="108"/>
      <c r="E2" s="108"/>
      <c r="F2" s="108"/>
      <c r="G2" s="108"/>
      <c r="H2" s="108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6" t="s">
        <v>101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107</v>
      </c>
      <c r="C5" s="100"/>
      <c r="D5" s="100"/>
      <c r="E5" s="100"/>
      <c r="F5" s="101"/>
      <c r="G5" s="26">
        <v>22588247.473941181</v>
      </c>
      <c r="H5" s="14" t="s">
        <v>3</v>
      </c>
      <c r="I5" s="1"/>
    </row>
    <row r="6" spans="1:9" x14ac:dyDescent="0.25">
      <c r="A6" s="1"/>
      <c r="B6" s="99" t="s">
        <v>102</v>
      </c>
      <c r="C6" s="100"/>
      <c r="D6" s="100"/>
      <c r="E6" s="100"/>
      <c r="F6" s="101"/>
      <c r="G6" s="26">
        <f>G5*'Fane 14. Nøgletal'!C17</f>
        <v>205553.05201286476</v>
      </c>
      <c r="H6" s="14" t="s">
        <v>3</v>
      </c>
      <c r="I6" s="1"/>
    </row>
    <row r="7" spans="1:9" x14ac:dyDescent="0.25">
      <c r="A7" s="1"/>
      <c r="B7" s="37"/>
      <c r="C7" s="38"/>
      <c r="D7" s="38"/>
      <c r="E7" s="38"/>
      <c r="F7" s="38"/>
      <c r="G7" s="38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108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109</v>
      </c>
      <c r="C10" s="100"/>
      <c r="D10" s="100"/>
      <c r="E10" s="100"/>
      <c r="F10" s="101"/>
      <c r="G10" s="26">
        <f>(G5-G6)*(1+'Fane 14. Nøgletal'!C9)</f>
        <v>22666954.641086806</v>
      </c>
      <c r="H10" s="14" t="s">
        <v>3</v>
      </c>
      <c r="I10" s="1"/>
    </row>
    <row r="11" spans="1:9" x14ac:dyDescent="0.25">
      <c r="A11" s="1"/>
      <c r="B11" s="102" t="s">
        <v>110</v>
      </c>
      <c r="C11" s="103"/>
      <c r="D11" s="103"/>
      <c r="E11" s="103"/>
      <c r="F11" s="104"/>
      <c r="G11" s="26">
        <v>0</v>
      </c>
      <c r="H11" s="14" t="s">
        <v>3</v>
      </c>
      <c r="I11" s="1"/>
    </row>
    <row r="12" spans="1:9" x14ac:dyDescent="0.25">
      <c r="A12" s="1"/>
      <c r="B12" s="99" t="s">
        <v>111</v>
      </c>
      <c r="C12" s="100"/>
      <c r="D12" s="100"/>
      <c r="E12" s="100"/>
      <c r="F12" s="101"/>
      <c r="G12" s="26">
        <f>G10*'Fane 14. Nøgletal'!C17+G11*'Fane 14. Nøgletal'!C18</f>
        <v>206269.28723388995</v>
      </c>
      <c r="H12" s="14" t="s">
        <v>3</v>
      </c>
      <c r="I12" s="1"/>
    </row>
    <row r="13" spans="1:9" x14ac:dyDescent="0.25">
      <c r="A13" s="1"/>
      <c r="B13" s="37"/>
      <c r="C13" s="38"/>
      <c r="D13" s="38"/>
      <c r="E13" s="38"/>
      <c r="F13" s="38"/>
      <c r="G13" s="38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112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113</v>
      </c>
      <c r="C16" s="100"/>
      <c r="D16" s="100"/>
      <c r="E16" s="100"/>
      <c r="F16" s="101"/>
      <c r="G16" s="26">
        <f>(G10+G11-G12)*(1+'Fane 14. Nøgletal'!C11)</f>
        <v>22840270.93633303</v>
      </c>
      <c r="H16" s="14" t="s">
        <v>3</v>
      </c>
      <c r="I16" s="1"/>
    </row>
    <row r="17" spans="1:9" x14ac:dyDescent="0.25">
      <c r="A17" s="1"/>
      <c r="B17" s="99" t="s">
        <v>226</v>
      </c>
      <c r="C17" s="100"/>
      <c r="D17" s="100"/>
      <c r="E17" s="100"/>
      <c r="F17" s="101"/>
      <c r="G17" s="26">
        <v>-399022.31955478404</v>
      </c>
      <c r="H17" s="14" t="s">
        <v>3</v>
      </c>
      <c r="I17" s="1"/>
    </row>
    <row r="18" spans="1:9" x14ac:dyDescent="0.25">
      <c r="A18" s="1"/>
      <c r="B18" s="102" t="s">
        <v>114</v>
      </c>
      <c r="C18" s="103"/>
      <c r="D18" s="103"/>
      <c r="E18" s="103"/>
      <c r="F18" s="104"/>
      <c r="G18" s="26">
        <v>194272.62946508997</v>
      </c>
      <c r="H18" s="14" t="s">
        <v>3</v>
      </c>
      <c r="I18" s="1"/>
    </row>
    <row r="19" spans="1:9" x14ac:dyDescent="0.25">
      <c r="A19" s="1"/>
      <c r="B19" s="99" t="s">
        <v>115</v>
      </c>
      <c r="C19" s="100"/>
      <c r="D19" s="100"/>
      <c r="E19" s="100"/>
      <c r="F19" s="101"/>
      <c r="G19" s="26">
        <f>SUM(G16:G18)*'Fane 14. Nøgletal'!C19</f>
        <v>196929.03484231699</v>
      </c>
      <c r="H19" s="14" t="s">
        <v>3</v>
      </c>
      <c r="I19" s="1"/>
    </row>
    <row r="20" spans="1:9" x14ac:dyDescent="0.25">
      <c r="A20" s="1"/>
      <c r="B20" s="37"/>
      <c r="C20" s="38"/>
      <c r="D20" s="38"/>
      <c r="E20" s="38"/>
      <c r="F20" s="38"/>
      <c r="G20" s="38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116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117</v>
      </c>
      <c r="C23" s="100"/>
      <c r="D23" s="100"/>
      <c r="E23" s="100"/>
      <c r="F23" s="101"/>
      <c r="G23" s="26">
        <f>(G16+G17+G18-G19)*(1+'Fane 14. Nøgletal'!C11)</f>
        <v>22817804.419773694</v>
      </c>
      <c r="H23" s="14" t="s">
        <v>3</v>
      </c>
      <c r="I23" s="1"/>
    </row>
    <row r="24" spans="1:9" x14ac:dyDescent="0.25">
      <c r="A24" s="1"/>
      <c r="B24" s="102" t="s">
        <v>118</v>
      </c>
      <c r="C24" s="103"/>
      <c r="D24" s="103"/>
      <c r="E24" s="103"/>
      <c r="F24" s="104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9" t="s">
        <v>119</v>
      </c>
      <c r="C25" s="100"/>
      <c r="D25" s="100"/>
      <c r="E25" s="100"/>
      <c r="F25" s="101"/>
      <c r="G25" s="26">
        <f>G23*'Fane 14. Nøgletal'!C19+G24*'Fane 14. Nøgletal'!C20</f>
        <v>198514.89845203114</v>
      </c>
      <c r="H25" s="14" t="s">
        <v>3</v>
      </c>
      <c r="I25" s="1"/>
    </row>
    <row r="26" spans="1:9" x14ac:dyDescent="0.25">
      <c r="A26" s="1"/>
      <c r="B26" s="37"/>
      <c r="C26" s="38"/>
      <c r="D26" s="38"/>
      <c r="E26" s="38"/>
      <c r="F26" s="38"/>
      <c r="G26" s="38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120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121</v>
      </c>
      <c r="C29" s="100"/>
      <c r="D29" s="100"/>
      <c r="E29" s="100"/>
      <c r="F29" s="101"/>
      <c r="G29" s="26">
        <f>G23*(1-'Fane 14. Nøgletal'!C19)*(1+'Fane 14. Nøgletal'!C11)+G24*(1-'Fane 14. Nøgletal'!C20)*(1+'Fane 14. Nøgletal'!C12)</f>
        <v>23001555.514231995</v>
      </c>
      <c r="H29" s="14" t="s">
        <v>3</v>
      </c>
      <c r="I29" s="1"/>
    </row>
    <row r="30" spans="1:9" x14ac:dyDescent="0.25">
      <c r="A30" s="1"/>
      <c r="B30" s="105" t="s">
        <v>221</v>
      </c>
      <c r="C30" s="106"/>
      <c r="D30" s="106"/>
      <c r="E30" s="106"/>
      <c r="F30" s="107"/>
      <c r="G30" s="26">
        <f>G24*(1-'Fane 14. Nøgletal'!C20)*(1+'Fane 14. Nøgletal'!C12)</f>
        <v>0</v>
      </c>
      <c r="H30" s="14" t="s">
        <v>3</v>
      </c>
      <c r="I30" s="1"/>
    </row>
    <row r="31" spans="1:9" x14ac:dyDescent="0.25">
      <c r="A31" s="1"/>
      <c r="B31" s="99" t="s">
        <v>151</v>
      </c>
      <c r="C31" s="100"/>
      <c r="D31" s="100"/>
      <c r="E31" s="100"/>
      <c r="F31" s="101"/>
      <c r="G31" s="26">
        <f>-'Fane 12. Bortfald'!E18*(1+'Fane 14. Nøgletal'!C12)</f>
        <v>0</v>
      </c>
      <c r="H31" s="14" t="s">
        <v>3</v>
      </c>
      <c r="I31" s="1"/>
    </row>
    <row r="32" spans="1:9" x14ac:dyDescent="0.25">
      <c r="A32" s="1"/>
      <c r="B32" s="99" t="s">
        <v>122</v>
      </c>
      <c r="C32" s="100"/>
      <c r="D32" s="100"/>
      <c r="E32" s="100"/>
      <c r="F32" s="101"/>
      <c r="G32" s="26">
        <f>(G29-G30)*'Fane 14. Nøgletal'!C19+(G30+G31)*'Fane 14. Nøgletal'!C20</f>
        <v>200113.53297381834</v>
      </c>
      <c r="H32" s="14" t="s">
        <v>3</v>
      </c>
      <c r="I32" s="1"/>
    </row>
    <row r="33" spans="1:9" x14ac:dyDescent="0.25">
      <c r="A33" s="1"/>
      <c r="B33" s="37"/>
      <c r="C33" s="38"/>
      <c r="D33" s="38"/>
      <c r="E33" s="38"/>
      <c r="F33" s="38"/>
      <c r="G33" s="38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6" t="s">
        <v>192</v>
      </c>
      <c r="C35" s="97"/>
      <c r="D35" s="97"/>
      <c r="E35" s="97"/>
      <c r="F35" s="97"/>
      <c r="G35" s="97"/>
      <c r="H35" s="98"/>
      <c r="I35" s="1"/>
    </row>
    <row r="36" spans="1:9" x14ac:dyDescent="0.25">
      <c r="A36" s="1"/>
      <c r="B36" s="99" t="s">
        <v>126</v>
      </c>
      <c r="C36" s="100"/>
      <c r="D36" s="100"/>
      <c r="E36" s="100"/>
      <c r="F36" s="101"/>
      <c r="G36" s="26">
        <f>(G29-G30)*(1-'Fane 14. Nøgletal'!C19)*(1+'Fane 14. Nøgletal'!C11)+(G30+G31)*(1-'Fane 14. Nøgletal'!C20)*(1+'Fane 14. Nøgletal'!C12)</f>
        <v>23186786.350741439</v>
      </c>
      <c r="H36" s="14" t="s">
        <v>3</v>
      </c>
      <c r="I36" s="1"/>
    </row>
    <row r="37" spans="1:9" x14ac:dyDescent="0.25">
      <c r="A37" s="1"/>
      <c r="B37" s="105" t="s">
        <v>221</v>
      </c>
      <c r="C37" s="106"/>
      <c r="D37" s="106"/>
      <c r="E37" s="106"/>
      <c r="F37" s="107"/>
      <c r="G37" s="26">
        <f>G30*(1-'Fane 14. Nøgletal'!C20)*(1+'Fane 14. Nøgletal'!C12)</f>
        <v>0</v>
      </c>
      <c r="H37" s="14" t="s">
        <v>3</v>
      </c>
      <c r="I37" s="1"/>
    </row>
    <row r="38" spans="1:9" x14ac:dyDescent="0.25">
      <c r="A38" s="1"/>
      <c r="B38" s="105" t="s">
        <v>222</v>
      </c>
      <c r="C38" s="106"/>
      <c r="D38" s="106"/>
      <c r="E38" s="106"/>
      <c r="F38" s="107"/>
      <c r="G38" s="26">
        <f>G31*(1-'Fane 14. Nøgletal'!C20)*(1+'Fane 14. Nøgletal'!C12)</f>
        <v>0</v>
      </c>
      <c r="H38" s="14" t="s">
        <v>3</v>
      </c>
      <c r="I38" s="1"/>
    </row>
    <row r="39" spans="1:9" x14ac:dyDescent="0.25">
      <c r="A39" s="1"/>
      <c r="B39" s="99" t="s">
        <v>152</v>
      </c>
      <c r="C39" s="100"/>
      <c r="D39" s="100"/>
      <c r="E39" s="100"/>
      <c r="F39" s="101"/>
      <c r="G39" s="26">
        <f>-'Fane 12. Bortfald'!E24*(1+'Fane 14. Nøgletal'!C12)</f>
        <v>0</v>
      </c>
      <c r="H39" s="14" t="s">
        <v>3</v>
      </c>
      <c r="I39" s="1"/>
    </row>
    <row r="40" spans="1:9" x14ac:dyDescent="0.25">
      <c r="A40" s="1"/>
      <c r="B40" s="99" t="s">
        <v>123</v>
      </c>
      <c r="C40" s="100"/>
      <c r="D40" s="100"/>
      <c r="E40" s="100"/>
      <c r="F40" s="101"/>
      <c r="G40" s="26">
        <f>(G36-SUM(G37:G38))*'Fane 14. Nøgletal'!C19+SUM(G37:G38)*'Fane 14. Nøgletal'!C20</f>
        <v>201725.04125145052</v>
      </c>
      <c r="H40" s="14" t="s">
        <v>3</v>
      </c>
      <c r="I40" s="1"/>
    </row>
    <row r="41" spans="1:9" x14ac:dyDescent="0.25">
      <c r="A41" s="1"/>
      <c r="B41" s="37"/>
      <c r="C41" s="38"/>
      <c r="D41" s="38"/>
      <c r="E41" s="38"/>
      <c r="F41" s="38"/>
      <c r="G41" s="38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6" t="s">
        <v>130</v>
      </c>
      <c r="C43" s="97"/>
      <c r="D43" s="97"/>
      <c r="E43" s="97"/>
      <c r="F43" s="97"/>
      <c r="G43" s="97"/>
      <c r="H43" s="98"/>
      <c r="I43" s="1"/>
    </row>
    <row r="44" spans="1:9" x14ac:dyDescent="0.25">
      <c r="A44" s="1"/>
      <c r="B44" s="99" t="s">
        <v>125</v>
      </c>
      <c r="C44" s="100"/>
      <c r="D44" s="100"/>
      <c r="E44" s="100"/>
      <c r="F44" s="101"/>
      <c r="G44" s="26">
        <f>(G36-G40)*(1+'Fane 14. Nøgletal'!C12)</f>
        <v>23437867.017286941</v>
      </c>
      <c r="H44" s="14" t="s">
        <v>3</v>
      </c>
      <c r="I44" s="1"/>
    </row>
    <row r="45" spans="1:9" x14ac:dyDescent="0.25">
      <c r="A45" s="1"/>
      <c r="B45" s="99" t="s">
        <v>153</v>
      </c>
      <c r="C45" s="100"/>
      <c r="D45" s="100"/>
      <c r="E45" s="100"/>
      <c r="F45" s="101"/>
      <c r="G45" s="26">
        <f>-'Fane 12. Bortfald'!E30*(1+'Fane 14. Nøgletal'!C12)</f>
        <v>0</v>
      </c>
      <c r="H45" s="14" t="s">
        <v>3</v>
      </c>
      <c r="I45" s="1"/>
    </row>
    <row r="46" spans="1:9" x14ac:dyDescent="0.25">
      <c r="A46" s="1"/>
      <c r="B46" s="99" t="s">
        <v>124</v>
      </c>
      <c r="C46" s="100"/>
      <c r="D46" s="100"/>
      <c r="E46" s="100"/>
      <c r="F46" s="101"/>
      <c r="G46" s="26">
        <f>(G44+G45)*'Fane 14. Nøgletal'!C20</f>
        <v>665635.4232909492</v>
      </c>
      <c r="H46" s="14" t="s">
        <v>3</v>
      </c>
      <c r="I46" s="1"/>
    </row>
    <row r="47" spans="1:9" x14ac:dyDescent="0.25">
      <c r="A47" s="1"/>
      <c r="B47" s="37"/>
      <c r="C47" s="38"/>
      <c r="D47" s="38"/>
      <c r="E47" s="38"/>
      <c r="F47" s="38"/>
      <c r="G47" s="38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4sNnD9HnRh8s0QGR44RFIsz8GPEfq507b7/twofSrX9eocxNAVvsxpQCcTWf5lSoVpNBwRq3tOcmM+YgoRM9w==" saltValue="OpozRnUJx1LiwIL2PsyEXA==" spinCount="100000" sheet="1" objects="1" scenarios="1"/>
  <mergeCells count="32">
    <mergeCell ref="B17:F17"/>
    <mergeCell ref="B45:F45"/>
    <mergeCell ref="B23:F23"/>
    <mergeCell ref="B24:F24"/>
    <mergeCell ref="B25:F25"/>
    <mergeCell ref="B40:F40"/>
    <mergeCell ref="B43:H43"/>
    <mergeCell ref="B44:F44"/>
    <mergeCell ref="B28:H28"/>
    <mergeCell ref="B29:F29"/>
    <mergeCell ref="B32:F32"/>
    <mergeCell ref="B35:H35"/>
    <mergeCell ref="B39:F39"/>
    <mergeCell ref="B30:F30"/>
    <mergeCell ref="B37:F37"/>
    <mergeCell ref="B38:F38"/>
    <mergeCell ref="B2:H2"/>
    <mergeCell ref="B36:F36"/>
    <mergeCell ref="B46:F46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144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177</v>
      </c>
      <c r="C9" s="100"/>
      <c r="D9" s="100"/>
      <c r="E9" s="100"/>
      <c r="F9" s="101"/>
      <c r="G9" s="25">
        <v>0</v>
      </c>
      <c r="H9" s="14"/>
      <c r="I9" s="1"/>
    </row>
    <row r="10" spans="1:9" x14ac:dyDescent="0.25">
      <c r="A10" s="1"/>
      <c r="B10" s="99" t="s">
        <v>191</v>
      </c>
      <c r="C10" s="100"/>
      <c r="D10" s="100"/>
      <c r="E10" s="100"/>
      <c r="F10" s="101"/>
      <c r="G10" s="25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9"/>
      <c r="C13" s="109"/>
      <c r="D13" s="109"/>
      <c r="E13" s="109"/>
      <c r="F13" s="109"/>
      <c r="G13" s="109"/>
      <c r="H13" s="109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+5+olERs65pcQTUsJ/jas/NzNaWuIBiOm6zzR+HNv2uv/ikSBByeBgktsXXJ/eQcVn83g1VfBUaB9f7nYMNsXQ==" saltValue="3cSZLiXw/rp1acjHVhQn2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2019-09-11T11:45:32Z</dcterms:modified>
</cp:coreProperties>
</file>