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jallerup Vandforsyning (V08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30" i="2" l="1"/>
  <c r="E9" i="40" l="1"/>
  <c r="E11" i="2" l="1"/>
  <c r="E10" i="2"/>
  <c r="E10" i="40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1" i="11"/>
  <c r="C10" i="37" s="1"/>
  <c r="C12" i="37" s="1"/>
  <c r="C13" i="37" s="1"/>
  <c r="G11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1" i="11" l="1"/>
  <c r="E10" i="37" s="1"/>
  <c r="E12" i="37" s="1"/>
  <c r="E13" i="37" s="1"/>
  <c r="E12" i="2" s="1"/>
  <c r="E15" i="2" s="1"/>
  <c r="E25" i="2"/>
  <c r="E16" i="2" l="1"/>
  <c r="E17" i="2" s="1"/>
  <c r="E31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<sst xmlns="http://schemas.openxmlformats.org/spreadsheetml/2006/main" count="433" uniqueCount="170">
  <si>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</si>
  <si>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</si>
  <si>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</si>
  <si>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</si>
  <si>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</si>
  <si>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</si>
  <si>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</si>
  <si>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</si>
  <si>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</si>
  <si>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</si>
  <si>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</si>
  <si>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</si>
  <si>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</si>
  <si>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</si>
  <si>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</si>
  <si>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</si>
  <si>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</si>
  <si>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</si>
  <si>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</si>
  <si>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</si>
  <si>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</si>
  <si>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</si>
  <si>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</si>
  <si>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</si>
  <si>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</si>
  <si>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</si>
  <si>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</si>
  <si>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</si>
  <si>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</si>
  <si>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</si>
  <si>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</si>
  <si>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</si>
  <si>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</si>
  <si>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</si>
  <si>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</si>
  <si>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</si>
  <si>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</si>
  <si>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</si>
  <si>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</si>
  <si>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</si>
  <si>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</si>
  <si>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</si>
  <si>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</si>
  <si>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</si>
  <si>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</si>
  <si>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</si>
  <si>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</si>
  <si>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</si>
  <si>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</si>
  <si>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</si>
  <si>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</si>
  <si>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</si>
  <si>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</si>
  <si>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</si>
  <si>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</si>
  <si>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</si>
  <si>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</si>
  <si>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</si>
  <si>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</si>
  <si>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</si>
  <si>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</si>
  <si>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</si>
  <si>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</si>
  <si>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</si>
  <si>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</si>
  <si>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</si>
  <si>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</si>
  <si>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</si>
  <si>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</si>
  <si>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</si>
  <si>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</si>
  <si>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</si>
  <si>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</si>
  <si>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</si>
  <si>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</si>
  <si>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</si>
  <si>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</si>
  <si>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</si>
  <si>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</si>
  <si>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</si>
  <si>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</si>
  <si>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</si>
  <si>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</si>
  <si>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</si>
  <si>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</si>
  <si>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</si>
  <si>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</si>
  <si>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</si>
  <si>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</si>
  <si>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</si>
  <si>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</si>
  <si>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</si>
  <si>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</si>
  <si>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</si>
  <si>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</si>
  <si>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</si>
  <si>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</si>
  <si>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</si>
  <si>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</si>
  <si>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</si>
  <si>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</si>
  <si>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</si>
  <si>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</si>
  <si>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</si>
  <si>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</si>
  <si>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</si>
  <si>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</si>
  <si>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</si>
  <si>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</si>
  <si>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</si>
  <si>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</si>
  <si>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</si>
  <si>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</si>
  <si>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</si>
  <si>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</si>
  <si>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</si>
  <si>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</si>
  <si>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</si>
  <si>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</si>
  <si>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</si>
  <si>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</si>
  <si>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</si>
  <si>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</si>
  <si>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</si>
  <si>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</si>
  <si>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</si>
  <si>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</si>
  <si>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</si>
  <si>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</si>
  <si>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</si>
  <si>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</si>
  <si>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</si>
  <si>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</si>
  <si>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</si>
  <si>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</si>
  <si>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</si>
  <si>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</si>
  <si>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</si>
  <si>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</si>
  <si>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</si>
  <si>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</si>
  <si>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</si>
  <si>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</si>
  <si>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</si>
  <si>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</si>
  <si>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</si>
  <si>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</si>
  <si>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</si>
  <si>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</si>
  <si>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</si>
  <si>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</si>
  <si>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</si>
  <si>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</si>
  <si>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</si>
  <si>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</si>
  <si>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Ingen anlægsprojekter</t>
  </si>
  <si>
    <t>Anlægsprojekter igangsat senest 1. marts 2016</t>
  </si>
  <si>
    <t>Korrektion af prislofterne for 2011-2015</t>
  </si>
  <si>
    <t>Korrektion af budgetterede omkostninger i prisloft 2011-2015</t>
  </si>
  <si>
    <t>Korrektion af prisudvikling, generelt og individuelt effektiviseringskrav i prisloft 2015</t>
  </si>
  <si>
    <t>Korrektion for overholdelse af indtægtsrammen i prisloft 2011-2015</t>
  </si>
  <si>
    <t>Korrektioner i alt</t>
  </si>
  <si>
    <t>Korrektion af grundlag</t>
  </si>
  <si>
    <t>Afgift for ledningsført vand</t>
  </si>
  <si>
    <t>Afgift til Forsyningssekretariatet</t>
  </si>
  <si>
    <t>Ejendomsskat</t>
  </si>
  <si>
    <t>Selskabsskatter</t>
  </si>
  <si>
    <t>Videreførte omkostninger fra den økonomiske ramme for 2022</t>
  </si>
  <si>
    <t>Udvidelse af forsyningsområdet</t>
  </si>
  <si>
    <t>Ingen engangstillæg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</si>
</sst>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0" fontId="8" fillId="8" borderId="2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3" t="s">
        <v>4</v>
      </c>
      <c r="E6" s="63"/>
      <c r="F6" s="63"/>
      <c r="G6" s="63"/>
      <c r="H6" s="3"/>
      <c r="I6" s="1"/>
    </row>
    <row r="7" spans="1:9" ht="15" customHeight="1" x14ac:dyDescent="0.25">
      <c r="A7" s="1"/>
      <c r="B7" s="1"/>
      <c r="C7" s="3"/>
      <c r="D7" s="63"/>
      <c r="E7" s="63"/>
      <c r="F7" s="63"/>
      <c r="G7" s="63"/>
      <c r="H7" s="3"/>
      <c r="I7" s="1"/>
    </row>
    <row r="8" spans="1:9" ht="15.75" x14ac:dyDescent="0.25">
      <c r="A8" s="1"/>
      <c r="B8" s="1"/>
      <c r="C8" s="4"/>
      <c r="D8" s="65" t="s">
        <v>116</v>
      </c>
      <c r="E8" s="65"/>
      <c r="F8" s="65"/>
      <c r="G8" s="6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4" t="s">
        <v>5</v>
      </c>
      <c r="E11" s="64"/>
      <c r="F11" s="64"/>
      <c r="G11" s="6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0" t="s">
        <v>49</v>
      </c>
      <c r="E13" s="61"/>
      <c r="F13" s="61"/>
      <c r="G13" s="62"/>
      <c r="H13" s="1"/>
      <c r="I13" s="1"/>
    </row>
    <row r="14" spans="1:9" x14ac:dyDescent="0.25">
      <c r="A14" s="1"/>
      <c r="B14" s="1"/>
      <c r="C14" s="6" t="s">
        <v>22</v>
      </c>
      <c r="D14" s="60" t="s">
        <v>117</v>
      </c>
      <c r="E14" s="61"/>
      <c r="F14" s="61"/>
      <c r="G14" s="62"/>
      <c r="H14" s="1"/>
      <c r="I14" s="1"/>
    </row>
    <row r="15" spans="1:9" x14ac:dyDescent="0.25">
      <c r="A15" s="1"/>
      <c r="B15" s="1"/>
      <c r="C15" s="6" t="s">
        <v>48</v>
      </c>
      <c r="D15" s="60" t="s">
        <v>75</v>
      </c>
      <c r="E15" s="61"/>
      <c r="F15" s="61"/>
      <c r="G15" s="62"/>
      <c r="H15" s="1"/>
      <c r="I15" s="1"/>
    </row>
    <row r="16" spans="1:9" x14ac:dyDescent="0.25">
      <c r="A16" s="1"/>
      <c r="B16" s="1"/>
      <c r="C16" s="6" t="s">
        <v>50</v>
      </c>
      <c r="D16" s="60" t="s">
        <v>76</v>
      </c>
      <c r="E16" s="61"/>
      <c r="F16" s="61"/>
      <c r="G16" s="62"/>
      <c r="H16" s="1"/>
      <c r="I16" s="1"/>
    </row>
    <row r="17" spans="1:9" x14ac:dyDescent="0.25">
      <c r="A17" s="1"/>
      <c r="B17" s="1"/>
      <c r="C17" s="6" t="s">
        <v>139</v>
      </c>
      <c r="D17" s="60" t="s">
        <v>57</v>
      </c>
      <c r="E17" s="61"/>
      <c r="F17" s="61"/>
      <c r="G17" s="62"/>
      <c r="H17" s="1"/>
      <c r="I17" s="1"/>
    </row>
    <row r="18" spans="1:9" x14ac:dyDescent="0.25">
      <c r="A18" s="1"/>
      <c r="B18" s="1"/>
      <c r="C18" s="6" t="s">
        <v>7</v>
      </c>
      <c r="D18" s="54" t="s">
        <v>16</v>
      </c>
      <c r="E18" s="55"/>
      <c r="F18" s="55"/>
      <c r="G18" s="56"/>
      <c r="H18" s="1"/>
      <c r="I18" s="1"/>
    </row>
    <row r="19" spans="1:9" x14ac:dyDescent="0.25">
      <c r="A19" s="1"/>
      <c r="B19" s="1"/>
      <c r="C19" s="6" t="s">
        <v>8</v>
      </c>
      <c r="D19" s="48" t="s">
        <v>97</v>
      </c>
      <c r="E19" s="49"/>
      <c r="F19" s="49"/>
      <c r="G19" s="50"/>
      <c r="H19" s="1"/>
      <c r="I19" s="1"/>
    </row>
    <row r="20" spans="1:9" x14ac:dyDescent="0.25">
      <c r="A20" s="1"/>
      <c r="B20" s="1"/>
      <c r="C20" s="6" t="s">
        <v>123</v>
      </c>
      <c r="D20" s="48" t="s">
        <v>147</v>
      </c>
      <c r="E20" s="49"/>
      <c r="F20" s="49"/>
      <c r="G20" s="50"/>
      <c r="H20" s="1"/>
      <c r="I20" s="1"/>
    </row>
    <row r="21" spans="1:9" x14ac:dyDescent="0.25">
      <c r="A21" s="1"/>
      <c r="B21" s="1"/>
      <c r="C21" s="6" t="s">
        <v>82</v>
      </c>
      <c r="D21" s="48" t="s">
        <v>51</v>
      </c>
      <c r="E21" s="49"/>
      <c r="F21" s="49"/>
      <c r="G21" s="50"/>
      <c r="H21" s="1"/>
      <c r="I21" s="1"/>
    </row>
    <row r="22" spans="1:9" x14ac:dyDescent="0.25">
      <c r="A22" s="1"/>
      <c r="B22" s="1"/>
      <c r="C22" s="6" t="s">
        <v>124</v>
      </c>
      <c r="D22" s="48" t="s">
        <v>83</v>
      </c>
      <c r="E22" s="49"/>
      <c r="F22" s="49"/>
      <c r="G22" s="50"/>
      <c r="H22" s="1"/>
      <c r="I22" s="1"/>
    </row>
    <row r="23" spans="1:9" x14ac:dyDescent="0.25">
      <c r="A23" s="1"/>
      <c r="B23" s="1"/>
      <c r="C23" s="6" t="s">
        <v>125</v>
      </c>
      <c r="D23" s="48" t="s">
        <v>84</v>
      </c>
      <c r="E23" s="49"/>
      <c r="F23" s="49"/>
      <c r="G23" s="50"/>
      <c r="H23" s="1"/>
      <c r="I23" s="1"/>
    </row>
    <row r="24" spans="1:9" x14ac:dyDescent="0.25">
      <c r="A24" s="1"/>
      <c r="B24" s="1"/>
      <c r="C24" s="6" t="s">
        <v>9</v>
      </c>
      <c r="D24" s="48" t="s">
        <v>52</v>
      </c>
      <c r="E24" s="49"/>
      <c r="F24" s="49"/>
      <c r="G24" s="50"/>
      <c r="H24" s="1"/>
      <c r="I24" s="1"/>
    </row>
    <row r="25" spans="1:9" x14ac:dyDescent="0.25">
      <c r="A25" s="1"/>
      <c r="B25" s="1"/>
      <c r="C25" s="6" t="s">
        <v>96</v>
      </c>
      <c r="D25" s="48" t="s">
        <v>53</v>
      </c>
      <c r="E25" s="49"/>
      <c r="F25" s="49"/>
      <c r="G25" s="50"/>
      <c r="H25" s="1"/>
      <c r="I25" s="1"/>
    </row>
    <row r="26" spans="1:9" x14ac:dyDescent="0.25">
      <c r="A26" s="1"/>
      <c r="B26" s="1"/>
      <c r="C26" s="6" t="s">
        <v>126</v>
      </c>
      <c r="D26" s="57" t="s">
        <v>10</v>
      </c>
      <c r="E26" s="58"/>
      <c r="F26" s="58"/>
      <c r="G26" s="59"/>
      <c r="H26" s="1"/>
      <c r="I26" s="1"/>
    </row>
    <row r="27" spans="1:9" x14ac:dyDescent="0.25">
      <c r="A27" s="1"/>
      <c r="B27" s="1"/>
      <c r="C27" s="6" t="s">
        <v>21</v>
      </c>
      <c r="D27" s="51" t="s">
        <v>127</v>
      </c>
      <c r="E27" s="52"/>
      <c r="F27" s="52"/>
      <c r="G27" s="53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FWXbupxkuLR+KG+iYfxz2XNKRiIOFbsPte8uA8jpGVML7dHrYqx6wPj1BPa7ATllCoSDYrYONjikjz0WbQsu3w==" saltValue="20GkpUhg4On1QHi8h41gSg==" spinCount="100000" sheet="1" objects="1" scenarios="1"/>
  <mergeCells count="18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150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151</v>
      </c>
      <c r="C8" s="78"/>
      <c r="D8" s="78"/>
      <c r="E8" s="78"/>
      <c r="F8" s="78"/>
      <c r="G8" s="78"/>
      <c r="H8" s="79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6" t="s">
        <v>2</v>
      </c>
      <c r="F9" s="36" t="s">
        <v>15</v>
      </c>
      <c r="G9" s="36" t="s">
        <v>41</v>
      </c>
      <c r="H9" s="45"/>
      <c r="I9" s="1"/>
    </row>
    <row r="10" spans="1:9" x14ac:dyDescent="0.25">
      <c r="A10" s="1"/>
      <c r="B10" s="99" t="s">
        <v>155</v>
      </c>
      <c r="C10" s="100"/>
      <c r="D10" s="8"/>
      <c r="E10" s="8"/>
      <c r="F10" s="8"/>
      <c r="G10" s="8"/>
      <c r="H10" s="12" t="s">
        <v>3</v>
      </c>
      <c r="I10" s="1"/>
    </row>
    <row r="11" spans="1:9" x14ac:dyDescent="0.25">
      <c r="A11" s="1"/>
      <c r="B11" s="77" t="s">
        <v>152</v>
      </c>
      <c r="C11" s="78"/>
      <c r="D11" s="79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01ZaYMxp4Dei8e69WnTugGhaSBdxVeSxx1W0WTQjFJattwcq6TykafI5VlM0P/+Ur94E+Vq37zGqycXPvKgz8A==" saltValue="ecL1NOOYdw9p3wnNBeUeo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120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6" t="s">
        <v>79</v>
      </c>
      <c r="C8" s="24"/>
      <c r="D8" s="24"/>
      <c r="E8" s="24"/>
      <c r="F8" s="47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156</v>
      </c>
      <c r="C10" s="21">
        <f>'Fane 7. Anlægsprojekter'!F11</f>
        <v>0</v>
      </c>
      <c r="D10" s="12" t="s">
        <v>3</v>
      </c>
      <c r="E10" s="8">
        <f>SUM('Fane 7. Anlægsprojekter'!E11,'Fane 7. Anlægsprojekter'!G11)</f>
        <v>0</v>
      </c>
      <c r="F10" s="12" t="s">
        <v>3</v>
      </c>
      <c r="G10" s="1"/>
    </row>
    <row r="11" spans="1:7" x14ac:dyDescent="0.25">
      <c r="A11" s="1"/>
      <c r="B11" s="101" t="s">
        <v>168</v>
      </c>
      <c r="C11" s="21">
        <v>59706</v>
      </c>
      <c r="D11" s="12" t="s">
        <v>3</v>
      </c>
      <c r="E11" s="8">
        <v>0</v>
      </c>
      <c r="F11" s="12" t="s">
        <v>3</v>
      </c>
      <c r="G11" s="1"/>
    </row>
    <row r="12" spans="1:7" x14ac:dyDescent="0.25">
      <c r="A12" s="1"/>
      <c r="B12" s="46" t="s">
        <v>54</v>
      </c>
      <c r="C12" s="10">
        <f>SUM(C10:C11)</f>
        <v>59706</v>
      </c>
      <c r="D12" s="11" t="s">
        <v>3</v>
      </c>
      <c r="E12" s="10">
        <f>SUM(E10:E11)</f>
        <v>0</v>
      </c>
      <c r="F12" s="11" t="s">
        <v>3</v>
      </c>
      <c r="G12" s="1"/>
    </row>
    <row r="13" spans="1:7" x14ac:dyDescent="0.25">
      <c r="A13" s="1"/>
      <c r="B13" s="46" t="s">
        <v>63</v>
      </c>
      <c r="C13" s="10">
        <f>C12*(1+'Fane 12. Nøgletal'!C12)</f>
        <v>60882.208200000001</v>
      </c>
      <c r="D13" s="11" t="s">
        <v>3</v>
      </c>
      <c r="E13" s="10">
        <f>E12*(1+'Fane 12. Nøgletal'!C12)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DPnliUvsLRmLW8xBCdy4YFYhb81hAvzkO2k5D0ax1ZXYNeq4cfdvN7/5NyNXDpyv56QGJLrIPMzwFSSlj6TsDg==" saltValue="OhaO5q3F//SMv/AdpdBxG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121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102</v>
      </c>
      <c r="C8" s="78"/>
      <c r="D8" s="78"/>
      <c r="E8" s="78"/>
      <c r="F8" s="79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5"/>
      <c r="G9" s="1"/>
    </row>
    <row r="10" spans="1:7" x14ac:dyDescent="0.25">
      <c r="A10" s="1"/>
      <c r="B10" s="22" t="s">
        <v>169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6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7" t="s">
        <v>103</v>
      </c>
      <c r="C15" s="78"/>
      <c r="D15" s="78"/>
      <c r="E15" s="78"/>
      <c r="F15" s="79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5"/>
      <c r="G16" s="1"/>
    </row>
    <row r="17" spans="1:7" x14ac:dyDescent="0.25">
      <c r="A17" s="1"/>
      <c r="B17" s="22" t="s">
        <v>169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6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6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7" t="s">
        <v>104</v>
      </c>
      <c r="C22" s="78"/>
      <c r="D22" s="78"/>
      <c r="E22" s="78"/>
      <c r="F22" s="79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5"/>
      <c r="G23" s="1"/>
    </row>
    <row r="24" spans="1:7" x14ac:dyDescent="0.25">
      <c r="A24" s="1"/>
      <c r="B24" s="22" t="s">
        <v>169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6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6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7" t="s">
        <v>105</v>
      </c>
      <c r="C29" s="78"/>
      <c r="D29" s="78"/>
      <c r="E29" s="78"/>
      <c r="F29" s="79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5"/>
      <c r="G30" s="1"/>
    </row>
    <row r="31" spans="1:7" x14ac:dyDescent="0.25">
      <c r="A31" s="1"/>
      <c r="B31" s="22" t="s">
        <v>169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6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6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rXlvJCRVjL2JlyzHVDz/lY0HRnsyH7Cy+daUASNpbF3MET0QFsFmT/kMUODXRsjWUrYc2ehO+XhUMgJV2AvOkQ==" saltValue="XHky9DlvF7GJeNJGPjjhV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134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32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33</v>
      </c>
      <c r="C9" s="89" t="s">
        <v>15</v>
      </c>
      <c r="D9" s="90"/>
      <c r="E9" s="89" t="s">
        <v>42</v>
      </c>
      <c r="F9" s="90"/>
      <c r="G9" s="1"/>
    </row>
    <row r="10" spans="1:7" x14ac:dyDescent="0.25">
      <c r="A10" s="1"/>
      <c r="B10" s="22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qirKKKiYW3LK+PfHY7uOBZEGgosgizm5pZKmAgFWQpf6UxqTZ/RZMCQdB7IGbA573ZZ78MN6MfDJS2b+GjhDuw==" saltValue="N1I2NhJKgCMCu/nZqIYgp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135</v>
      </c>
      <c r="C3" s="71"/>
      <c r="D3" s="71"/>
      <c r="E3" s="71"/>
      <c r="F3" s="71"/>
      <c r="G3" s="1"/>
    </row>
    <row r="4" spans="1:7" ht="25.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7" t="s">
        <v>91</v>
      </c>
      <c r="C8" s="78"/>
      <c r="D8" s="78"/>
      <c r="E8" s="78"/>
      <c r="F8" s="79"/>
      <c r="G8" s="1"/>
    </row>
    <row r="9" spans="1:7" ht="15" customHeight="1" x14ac:dyDescent="0.25">
      <c r="A9" s="1"/>
      <c r="B9" s="44" t="s">
        <v>25</v>
      </c>
      <c r="C9" s="44" t="s">
        <v>15</v>
      </c>
      <c r="D9" s="45"/>
      <c r="E9" s="44" t="s">
        <v>42</v>
      </c>
      <c r="F9" s="45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6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6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7" t="s">
        <v>92</v>
      </c>
      <c r="C14" s="78"/>
      <c r="D14" s="78"/>
      <c r="E14" s="78"/>
      <c r="F14" s="79"/>
      <c r="G14" s="1"/>
    </row>
    <row r="15" spans="1:7" ht="26.25" x14ac:dyDescent="0.25">
      <c r="A15" s="1"/>
      <c r="B15" s="44" t="s">
        <v>25</v>
      </c>
      <c r="C15" s="44" t="s">
        <v>15</v>
      </c>
      <c r="D15" s="45"/>
      <c r="E15" s="44" t="s">
        <v>42</v>
      </c>
      <c r="F15" s="45"/>
      <c r="G15" s="1"/>
    </row>
    <row r="16" spans="1:7" x14ac:dyDescent="0.25">
      <c r="A16" s="1"/>
      <c r="B16" s="22" t="s">
        <v>154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6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6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7" t="s">
        <v>90</v>
      </c>
      <c r="C20" s="78"/>
      <c r="D20" s="78"/>
      <c r="E20" s="78"/>
      <c r="F20" s="79"/>
      <c r="G20" s="1"/>
    </row>
    <row r="21" spans="1:7" ht="26.25" x14ac:dyDescent="0.25">
      <c r="A21" s="1"/>
      <c r="B21" s="44" t="s">
        <v>25</v>
      </c>
      <c r="C21" s="44" t="s">
        <v>15</v>
      </c>
      <c r="D21" s="45"/>
      <c r="E21" s="44" t="s">
        <v>42</v>
      </c>
      <c r="F21" s="45"/>
      <c r="G21" s="1"/>
    </row>
    <row r="22" spans="1:7" x14ac:dyDescent="0.25">
      <c r="A22" s="1"/>
      <c r="B22" s="22" t="s">
        <v>154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6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6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7" t="s">
        <v>93</v>
      </c>
      <c r="C26" s="78"/>
      <c r="D26" s="78"/>
      <c r="E26" s="78"/>
      <c r="F26" s="79"/>
      <c r="G26" s="1"/>
    </row>
    <row r="27" spans="1:7" ht="26.25" x14ac:dyDescent="0.25">
      <c r="A27" s="1"/>
      <c r="B27" s="44" t="s">
        <v>25</v>
      </c>
      <c r="C27" s="44" t="s">
        <v>15</v>
      </c>
      <c r="D27" s="45"/>
      <c r="E27" s="44" t="s">
        <v>42</v>
      </c>
      <c r="F27" s="45"/>
      <c r="G27" s="1"/>
    </row>
    <row r="28" spans="1:7" x14ac:dyDescent="0.25">
      <c r="A28" s="1"/>
      <c r="B28" s="22" t="s">
        <v>154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6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6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Z/pRScb+utbu80crwS6esJRi4afYfQ8B+PLKhFfXrLtf9U8gBmh6JJlie3kIsADDDMjuQepCAgyuhn7aV1fVA==" saltValue="/XeTRVm5YPfFH6xidRXkDA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6" t="s">
        <v>136</v>
      </c>
      <c r="C3" s="66"/>
      <c r="D3" s="66"/>
      <c r="E3" s="66"/>
      <c r="F3" s="66"/>
      <c r="G3" s="66"/>
      <c r="H3" s="66"/>
      <c r="I3" s="1"/>
    </row>
    <row r="4" spans="1:9" ht="15" customHeight="1" x14ac:dyDescent="0.25">
      <c r="A4" s="1"/>
      <c r="B4" s="66"/>
      <c r="C4" s="66"/>
      <c r="D4" s="66"/>
      <c r="E4" s="66"/>
      <c r="F4" s="66"/>
      <c r="G4" s="66"/>
      <c r="H4" s="6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7" t="s">
        <v>17</v>
      </c>
      <c r="C8" s="78"/>
      <c r="D8" s="78"/>
      <c r="E8" s="78"/>
      <c r="F8" s="78"/>
      <c r="G8" s="78"/>
      <c r="H8" s="79"/>
      <c r="I8" s="1"/>
    </row>
    <row r="9" spans="1:9" x14ac:dyDescent="0.25">
      <c r="A9" s="1"/>
      <c r="B9" s="91" t="s">
        <v>11</v>
      </c>
      <c r="C9" s="92"/>
      <c r="D9" s="92"/>
      <c r="E9" s="92"/>
      <c r="F9" s="93"/>
      <c r="G9" s="8">
        <v>4815585</v>
      </c>
      <c r="H9" s="12" t="s">
        <v>3</v>
      </c>
      <c r="I9" s="1"/>
    </row>
    <row r="10" spans="1:9" x14ac:dyDescent="0.25">
      <c r="A10" s="1"/>
      <c r="B10" s="91" t="s">
        <v>77</v>
      </c>
      <c r="C10" s="92"/>
      <c r="D10" s="92"/>
      <c r="E10" s="92"/>
      <c r="F10" s="93"/>
      <c r="G10" s="8">
        <v>0</v>
      </c>
      <c r="H10" s="12" t="s">
        <v>3</v>
      </c>
      <c r="I10" s="1"/>
    </row>
    <row r="11" spans="1:9" x14ac:dyDescent="0.25">
      <c r="A11" s="1"/>
      <c r="B11" s="91" t="s">
        <v>69</v>
      </c>
      <c r="C11" s="92"/>
      <c r="D11" s="92"/>
      <c r="E11" s="92"/>
      <c r="F11" s="93"/>
      <c r="G11" s="8">
        <v>-4333799.7566137565</v>
      </c>
      <c r="H11" s="12" t="s">
        <v>3</v>
      </c>
      <c r="I11" s="1"/>
    </row>
    <row r="12" spans="1:9" x14ac:dyDescent="0.25">
      <c r="A12" s="1"/>
      <c r="B12" s="94" t="s">
        <v>14</v>
      </c>
      <c r="C12" s="95"/>
      <c r="D12" s="95"/>
      <c r="E12" s="95"/>
      <c r="F12" s="96"/>
      <c r="G12" s="17">
        <f>(G9+G10)+G11</f>
        <v>481785.24338624347</v>
      </c>
      <c r="H12" s="16" t="s">
        <v>3</v>
      </c>
      <c r="I12" s="1"/>
    </row>
    <row r="13" spans="1:9" x14ac:dyDescent="0.25">
      <c r="A13" s="1"/>
      <c r="B13" s="91" t="s">
        <v>12</v>
      </c>
      <c r="C13" s="92"/>
      <c r="D13" s="92"/>
      <c r="E13" s="92"/>
      <c r="F13" s="93"/>
      <c r="G13" s="8">
        <v>1</v>
      </c>
      <c r="H13" s="12" t="s">
        <v>27</v>
      </c>
      <c r="I13" s="1"/>
    </row>
    <row r="14" spans="1:9" x14ac:dyDescent="0.25">
      <c r="A14" s="1"/>
      <c r="B14" s="77" t="s">
        <v>78</v>
      </c>
      <c r="C14" s="78"/>
      <c r="D14" s="78"/>
      <c r="E14" s="78"/>
      <c r="F14" s="79"/>
      <c r="G14" s="10">
        <f>IF(G13 = 0,0,-G12/G13)</f>
        <v>-481785.24338624347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4EXjNrtipsYmWMGWVKlVBAaO62tZN3dPumrSSXZ3U3G0eo4kbFSGnNFyMvmPcDwqctym5gfA5vntZmfeDSyA6w==" saltValue="nzDuh8MdF87aW7llty5Pq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1" t="s">
        <v>137</v>
      </c>
      <c r="C3" s="71"/>
      <c r="D3" s="1"/>
    </row>
    <row r="4" spans="1:4" ht="25.5" customHeight="1" x14ac:dyDescent="0.25">
      <c r="A4" s="1"/>
      <c r="B4" s="71"/>
      <c r="C4" s="7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6" t="s">
        <v>20</v>
      </c>
      <c r="C8" s="47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6"/>
      <c r="C13" s="4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6" t="s">
        <v>115</v>
      </c>
      <c r="C16" s="47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7"/>
      <c r="C18" s="98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khBpeT+r4HwZIHDegHQ6l1ocG/p3mf5FC0fEGQ6dsWEqt+wSk+FbTsKk/NW6QgwqhzzoJOcqycPeG2CtMzkpEg==" saltValue="m/F3eMW5/8GbHwkuXcADtg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56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x14ac:dyDescent="0.25">
      <c r="A9" s="1"/>
      <c r="B9" s="38" t="s">
        <v>35</v>
      </c>
      <c r="C9" s="38"/>
      <c r="D9" s="38"/>
      <c r="E9" s="7">
        <f>'Fane 3. Omkostninger i ØR2019'!E15</f>
        <v>2805647.2282699696</v>
      </c>
      <c r="F9" s="38" t="s">
        <v>3</v>
      </c>
      <c r="G9" s="1"/>
    </row>
    <row r="10" spans="1:7" x14ac:dyDescent="0.25">
      <c r="A10" s="1"/>
      <c r="B10" s="40" t="s">
        <v>140</v>
      </c>
      <c r="C10" s="38"/>
      <c r="D10" s="38"/>
      <c r="E10" s="7">
        <f>'Fane 3. Omkostninger i ØR2019'!E10*(1-'Fane 12. Nøgletal'!C17)*(1+'Fane 12. Nøgletal'!C10)</f>
        <v>0</v>
      </c>
      <c r="F10" s="38" t="s">
        <v>3</v>
      </c>
      <c r="G10" s="1"/>
    </row>
    <row r="11" spans="1:7" x14ac:dyDescent="0.25">
      <c r="A11" s="1"/>
      <c r="B11" s="40" t="s">
        <v>143</v>
      </c>
      <c r="C11" s="38"/>
      <c r="D11" s="38"/>
      <c r="E11" s="7">
        <f>('Fane 3. Omkostninger i ØR2019'!E11+'Fane 3. Omkostninger i ØR2019'!E12)*(1-'Fane 12. Nøgletal'!C17)*(1+'Fane 12. Nøgletal'!C11)</f>
        <v>0</v>
      </c>
      <c r="F11" s="38" t="s">
        <v>3</v>
      </c>
      <c r="G11" s="1"/>
    </row>
    <row r="12" spans="1:7" ht="17.100000000000001" customHeight="1" x14ac:dyDescent="0.25">
      <c r="A12" s="1"/>
      <c r="B12" s="31" t="s">
        <v>141</v>
      </c>
      <c r="C12" s="38"/>
      <c r="D12" s="38"/>
      <c r="E12" s="7">
        <f>'Fane 8.1. Varige tillæg'!C13+'Fane 8.1. Varige tillæg'!E13</f>
        <v>60882.208200000001</v>
      </c>
      <c r="F12" s="38" t="s">
        <v>3</v>
      </c>
      <c r="G12" s="1"/>
    </row>
    <row r="13" spans="1:7" ht="17.100000000000001" customHeight="1" x14ac:dyDescent="0.25">
      <c r="A13" s="1"/>
      <c r="B13" s="31" t="s">
        <v>144</v>
      </c>
      <c r="C13" s="38"/>
      <c r="D13" s="38"/>
      <c r="E13" s="8">
        <f>-('Fane 10. Bortfald'!C12+'Fane 10. Bortfald'!E12)</f>
        <v>0</v>
      </c>
      <c r="F13" s="38" t="s">
        <v>3</v>
      </c>
      <c r="G13" s="1"/>
    </row>
    <row r="14" spans="1:7" ht="17.100000000000001" customHeight="1" x14ac:dyDescent="0.25">
      <c r="A14" s="1"/>
      <c r="B14" s="31" t="s">
        <v>111</v>
      </c>
      <c r="C14" s="38"/>
      <c r="D14" s="38"/>
      <c r="E14" s="8">
        <f>'Fane 9. Tilknyttet aktivitet'!C12+'Fane 9. Tilknyttet aktivitet'!E12</f>
        <v>0</v>
      </c>
      <c r="F14" s="38" t="s">
        <v>3</v>
      </c>
      <c r="G14" s="1"/>
    </row>
    <row r="15" spans="1:7" ht="17.100000000000001" customHeight="1" x14ac:dyDescent="0.25">
      <c r="A15" s="1"/>
      <c r="B15" s="31" t="s">
        <v>26</v>
      </c>
      <c r="C15" s="38"/>
      <c r="D15" s="38"/>
      <c r="E15" s="8">
        <f>(E9-SUM(E10:E11))*'Fane 12. Nøgletal'!C9+E10*'Fane 12. Nøgletal'!C10+E11*'Fane 12. Nøgletal'!C11+SUM(E12:E14)*'Fane 12. Nøgletal'!C12</f>
        <v>36831.099300568618</v>
      </c>
      <c r="F15" s="38" t="s">
        <v>3</v>
      </c>
      <c r="G15" s="1"/>
    </row>
    <row r="16" spans="1:7" ht="17.100000000000001" customHeight="1" x14ac:dyDescent="0.25">
      <c r="A16" s="1"/>
      <c r="B16" s="31" t="s">
        <v>115</v>
      </c>
      <c r="C16" s="38"/>
      <c r="D16" s="38"/>
      <c r="E16" s="8">
        <f>-SUM(E9,E12:E15)*'Fane 12. Nøgletal'!C17</f>
        <v>-49357.12910809915</v>
      </c>
      <c r="F16" s="38" t="s">
        <v>3</v>
      </c>
      <c r="G16" s="1"/>
    </row>
    <row r="17" spans="1:7" ht="17.100000000000001" customHeight="1" x14ac:dyDescent="0.25">
      <c r="A17" s="1"/>
      <c r="B17" s="43" t="s">
        <v>28</v>
      </c>
      <c r="C17" s="41"/>
      <c r="D17" s="41"/>
      <c r="E17" s="9">
        <f>SUM(E9,E12:E16)</f>
        <v>2854003.406662439</v>
      </c>
      <c r="F17" s="36" t="s">
        <v>3</v>
      </c>
      <c r="G17" s="1"/>
    </row>
    <row r="18" spans="1:7" ht="15" customHeight="1" x14ac:dyDescent="0.25">
      <c r="A18" s="1"/>
      <c r="B18" s="42" t="s">
        <v>16</v>
      </c>
      <c r="C18" s="42"/>
      <c r="D18" s="42"/>
      <c r="E18" s="42"/>
      <c r="F18" s="42"/>
      <c r="G18" s="1"/>
    </row>
    <row r="19" spans="1:7" ht="15" customHeight="1" x14ac:dyDescent="0.25">
      <c r="A19" s="1"/>
      <c r="B19" s="36" t="s">
        <v>16</v>
      </c>
      <c r="C19" s="36"/>
      <c r="D19" s="36"/>
      <c r="E19" s="9">
        <f>'Fane 4. Ikke-påvirkelige omk.'!C15</f>
        <v>2145451.9544419502</v>
      </c>
      <c r="F19" s="36" t="s">
        <v>3</v>
      </c>
      <c r="G19" s="1"/>
    </row>
    <row r="20" spans="1:7" ht="15" customHeight="1" x14ac:dyDescent="0.25">
      <c r="A20" s="1"/>
      <c r="B20" s="42" t="s">
        <v>84</v>
      </c>
      <c r="C20" s="42"/>
      <c r="D20" s="42"/>
      <c r="E20" s="42"/>
      <c r="F20" s="42"/>
      <c r="G20" s="1"/>
    </row>
    <row r="21" spans="1:7" ht="15" customHeight="1" x14ac:dyDescent="0.25">
      <c r="A21" s="1"/>
      <c r="B21" s="31" t="s">
        <v>80</v>
      </c>
      <c r="C21" s="38"/>
      <c r="D21" s="38"/>
      <c r="E21" s="8">
        <f>'Fane 8.2. Engangstillæg'!C13</f>
        <v>0</v>
      </c>
      <c r="F21" s="38" t="s">
        <v>3</v>
      </c>
      <c r="G21" s="1"/>
    </row>
    <row r="22" spans="1:7" ht="15" customHeight="1" x14ac:dyDescent="0.25">
      <c r="A22" s="1"/>
      <c r="B22" s="31" t="s">
        <v>81</v>
      </c>
      <c r="C22" s="38"/>
      <c r="D22" s="38"/>
      <c r="E22" s="8">
        <f>'Fane 8.2. Engangstillæg'!E13</f>
        <v>0</v>
      </c>
      <c r="F22" s="38" t="s">
        <v>3</v>
      </c>
      <c r="G22" s="1"/>
    </row>
    <row r="23" spans="1:7" x14ac:dyDescent="0.25">
      <c r="A23" s="1"/>
      <c r="B23" s="43" t="s">
        <v>85</v>
      </c>
      <c r="C23" s="41"/>
      <c r="D23" s="41"/>
      <c r="E23" s="9">
        <f>SUM(E21:E22)</f>
        <v>0</v>
      </c>
      <c r="F23" s="36" t="s">
        <v>3</v>
      </c>
      <c r="G23" s="1"/>
    </row>
    <row r="24" spans="1:7" x14ac:dyDescent="0.25">
      <c r="A24" s="1"/>
      <c r="B24" s="42" t="s">
        <v>10</v>
      </c>
      <c r="C24" s="42"/>
      <c r="D24" s="42"/>
      <c r="E24" s="42"/>
      <c r="F24" s="42"/>
      <c r="G24" s="1"/>
    </row>
    <row r="25" spans="1:7" ht="15" customHeight="1" x14ac:dyDescent="0.25">
      <c r="A25" s="1"/>
      <c r="B25" s="36" t="s">
        <v>18</v>
      </c>
      <c r="C25" s="36"/>
      <c r="D25" s="36"/>
      <c r="E25" s="9">
        <f>'Fane 11. Hist. over-underdæk.'!G14</f>
        <v>-481785.24338624347</v>
      </c>
      <c r="F25" s="36" t="s">
        <v>3</v>
      </c>
      <c r="G25" s="1"/>
    </row>
    <row r="26" spans="1:7" ht="15" customHeight="1" x14ac:dyDescent="0.25">
      <c r="A26" s="1"/>
      <c r="B26" s="46" t="s">
        <v>157</v>
      </c>
      <c r="C26" s="42"/>
      <c r="D26" s="42"/>
      <c r="E26" s="42"/>
      <c r="F26" s="42"/>
      <c r="G26" s="1"/>
    </row>
    <row r="27" spans="1:7" x14ac:dyDescent="0.25">
      <c r="A27" s="1"/>
      <c r="B27" s="34" t="s">
        <v>158</v>
      </c>
      <c r="C27" s="36"/>
      <c r="D27" s="36"/>
      <c r="E27" s="7">
        <v>43460.345000000001</v>
      </c>
      <c r="F27" s="7" t="s">
        <v>3</v>
      </c>
      <c r="G27" s="1"/>
    </row>
    <row r="28" spans="1:7" ht="26.25" x14ac:dyDescent="0.25">
      <c r="A28" s="1"/>
      <c r="B28" s="34" t="s">
        <v>159</v>
      </c>
      <c r="C28" s="36"/>
      <c r="D28" s="36"/>
      <c r="E28" s="7">
        <v>-4722</v>
      </c>
      <c r="F28" s="7" t="s">
        <v>3</v>
      </c>
      <c r="G28" s="1"/>
    </row>
    <row r="29" spans="1:7" x14ac:dyDescent="0.25">
      <c r="A29" s="1"/>
      <c r="B29" s="35" t="s">
        <v>160</v>
      </c>
      <c r="C29" s="36"/>
      <c r="D29" s="36"/>
      <c r="E29" s="7">
        <v>-909571.5</v>
      </c>
      <c r="F29" s="7" t="s">
        <v>3</v>
      </c>
      <c r="G29" s="1"/>
    </row>
    <row r="30" spans="1:7" x14ac:dyDescent="0.25">
      <c r="A30" s="1"/>
      <c r="B30" s="44" t="s">
        <v>161</v>
      </c>
      <c r="C30" s="36"/>
      <c r="D30" s="36"/>
      <c r="E30" s="9">
        <f>SUM(E27:E29)</f>
        <v>-870833.15500000003</v>
      </c>
      <c r="F30" s="36" t="s">
        <v>3</v>
      </c>
      <c r="G30" s="1"/>
    </row>
    <row r="31" spans="1:7" x14ac:dyDescent="0.25">
      <c r="A31" s="1"/>
      <c r="B31" s="42" t="s">
        <v>36</v>
      </c>
      <c r="C31" s="42"/>
      <c r="D31" s="42"/>
      <c r="E31" s="10">
        <f>SUM(E17,E19,E23,E25,E30)</f>
        <v>3646836.9627181459</v>
      </c>
      <c r="F31" s="1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z+zKa1kFGShHhQUXmhxHypxTyEnefo7GJv6fo22inTugu4IJqmsGjrTrxYskEF+g4M8RUO4ZYp82jdbiUvjakA==" saltValue="BGQZnJWAAtNL6+3t2PVvM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73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19</v>
      </c>
      <c r="C8" s="42"/>
      <c r="D8" s="42"/>
      <c r="E8" s="42"/>
      <c r="F8" s="42"/>
      <c r="G8" s="1"/>
    </row>
    <row r="9" spans="1:7" ht="15" customHeight="1" x14ac:dyDescent="0.25">
      <c r="A9" s="1"/>
      <c r="B9" s="38" t="s">
        <v>37</v>
      </c>
      <c r="C9" s="38"/>
      <c r="D9" s="38"/>
      <c r="E9" s="7">
        <f>'Fane 2.1. Økonomisk ramme 2020'!E17</f>
        <v>2854003.406662439</v>
      </c>
      <c r="F9" s="38" t="s">
        <v>3</v>
      </c>
      <c r="G9" s="1"/>
    </row>
    <row r="10" spans="1:7" ht="15" customHeight="1" x14ac:dyDescent="0.25">
      <c r="A10" s="1"/>
      <c r="B10" s="38" t="s">
        <v>162</v>
      </c>
      <c r="C10" s="38"/>
      <c r="D10" s="38"/>
      <c r="E10" s="7">
        <v>23283.666459029275</v>
      </c>
      <c r="F10" s="38" t="s">
        <v>3</v>
      </c>
      <c r="G10" s="1"/>
    </row>
    <row r="11" spans="1:7" ht="15" customHeight="1" x14ac:dyDescent="0.25">
      <c r="A11" s="1"/>
      <c r="B11" s="31" t="s">
        <v>144</v>
      </c>
      <c r="C11" s="38"/>
      <c r="D11" s="38"/>
      <c r="E11" s="7">
        <f>-('Fane 10. Bortfald'!C18+'Fane 10. Bortfald'!E18)</f>
        <v>0</v>
      </c>
      <c r="F11" s="38" t="s">
        <v>3</v>
      </c>
      <c r="G11" s="1"/>
    </row>
    <row r="12" spans="1:7" ht="15" customHeight="1" x14ac:dyDescent="0.25">
      <c r="A12" s="1"/>
      <c r="B12" s="39" t="s">
        <v>26</v>
      </c>
      <c r="C12" s="38"/>
      <c r="D12" s="38"/>
      <c r="E12" s="8">
        <f>SUM(E9:E11)*'Fane 12. Nøgletal'!C12</f>
        <v>56682.555340492916</v>
      </c>
      <c r="F12" s="38" t="s">
        <v>3</v>
      </c>
      <c r="G12" s="1"/>
    </row>
    <row r="13" spans="1:7" ht="15" customHeight="1" x14ac:dyDescent="0.25">
      <c r="A13" s="1"/>
      <c r="B13" s="39" t="s">
        <v>115</v>
      </c>
      <c r="C13" s="38"/>
      <c r="D13" s="38"/>
      <c r="E13" s="8">
        <f>-SUM(E9:E12)*'Fane 12. Nøgletal'!C17</f>
        <v>-49877.483683853345</v>
      </c>
      <c r="F13" s="38" t="s">
        <v>3</v>
      </c>
      <c r="G13" s="1"/>
    </row>
    <row r="14" spans="1:7" ht="15" customHeight="1" x14ac:dyDescent="0.25">
      <c r="A14" s="1"/>
      <c r="B14" s="41" t="s">
        <v>28</v>
      </c>
      <c r="C14" s="41"/>
      <c r="D14" s="41"/>
      <c r="E14" s="9">
        <f>SUM(E9:E13)</f>
        <v>2884092.1447781078</v>
      </c>
      <c r="F14" s="36" t="s">
        <v>3</v>
      </c>
      <c r="G14" s="1"/>
    </row>
    <row r="15" spans="1:7" x14ac:dyDescent="0.25">
      <c r="A15" s="1"/>
      <c r="B15" s="42" t="s">
        <v>16</v>
      </c>
      <c r="C15" s="42"/>
      <c r="D15" s="42"/>
      <c r="E15" s="42"/>
      <c r="F15" s="42"/>
      <c r="G15" s="1"/>
    </row>
    <row r="16" spans="1:7" ht="15" customHeight="1" x14ac:dyDescent="0.25">
      <c r="A16" s="1"/>
      <c r="B16" s="36" t="s">
        <v>16</v>
      </c>
      <c r="C16" s="36"/>
      <c r="D16" s="36"/>
      <c r="E16" s="9">
        <f>'Fane 4. Ikke-påvirkelige omk.'!C15*(1+'Fane 12. Nøgletal'!C12)</f>
        <v>2187717.3579444569</v>
      </c>
      <c r="F16" s="36" t="s">
        <v>3</v>
      </c>
      <c r="G16" s="1"/>
    </row>
    <row r="17" spans="1:7" ht="15" customHeight="1" x14ac:dyDescent="0.25">
      <c r="A17" s="1"/>
      <c r="B17" s="42" t="s">
        <v>84</v>
      </c>
      <c r="C17" s="42"/>
      <c r="D17" s="42"/>
      <c r="E17" s="42"/>
      <c r="F17" s="42"/>
      <c r="G17" s="1"/>
    </row>
    <row r="18" spans="1:7" ht="15" customHeight="1" x14ac:dyDescent="0.25">
      <c r="A18" s="1"/>
      <c r="B18" s="31" t="s">
        <v>80</v>
      </c>
      <c r="C18" s="38"/>
      <c r="D18" s="38"/>
      <c r="E18" s="8">
        <f>'Fane 8.2. Engangstillæg'!C20</f>
        <v>0</v>
      </c>
      <c r="F18" s="38" t="s">
        <v>3</v>
      </c>
      <c r="G18" s="1"/>
    </row>
    <row r="19" spans="1:7" ht="15" customHeight="1" x14ac:dyDescent="0.25">
      <c r="A19" s="1"/>
      <c r="B19" s="31" t="s">
        <v>81</v>
      </c>
      <c r="C19" s="38"/>
      <c r="D19" s="38"/>
      <c r="E19" s="8">
        <f>'Fane 8.2. Engangstillæg'!E20</f>
        <v>0</v>
      </c>
      <c r="F19" s="38" t="s">
        <v>3</v>
      </c>
      <c r="G19" s="1"/>
    </row>
    <row r="20" spans="1:7" ht="15" customHeight="1" x14ac:dyDescent="0.25">
      <c r="A20" s="1"/>
      <c r="B20" s="43" t="s">
        <v>85</v>
      </c>
      <c r="C20" s="41"/>
      <c r="D20" s="41"/>
      <c r="E20" s="9">
        <f>SUM(E18:E19)</f>
        <v>0</v>
      </c>
      <c r="F20" s="36" t="s">
        <v>3</v>
      </c>
      <c r="G20" s="1"/>
    </row>
    <row r="21" spans="1:7" x14ac:dyDescent="0.25">
      <c r="A21" s="1"/>
      <c r="B21" s="42" t="s">
        <v>95</v>
      </c>
      <c r="C21" s="42"/>
      <c r="D21" s="42"/>
      <c r="E21" s="42"/>
      <c r="F21" s="42"/>
      <c r="G21" s="1"/>
    </row>
    <row r="22" spans="1:7" ht="15" customHeight="1" x14ac:dyDescent="0.25">
      <c r="A22" s="1"/>
      <c r="B22" s="36" t="s">
        <v>131</v>
      </c>
      <c r="C22" s="36"/>
      <c r="D22" s="36"/>
      <c r="E22" s="9">
        <f>'Fane 5. Kontrol af ØR2018'!E35</f>
        <v>-429037.85168275703</v>
      </c>
      <c r="F22" s="36" t="s">
        <v>3</v>
      </c>
      <c r="G22" s="1"/>
    </row>
    <row r="23" spans="1:7" x14ac:dyDescent="0.25">
      <c r="A23" s="1"/>
      <c r="B23" s="42" t="s">
        <v>39</v>
      </c>
      <c r="C23" s="42"/>
      <c r="D23" s="42"/>
      <c r="E23" s="10">
        <f>SUM(E14,E16,E20,E22)</f>
        <v>4642771.6510398081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BrK5sxsBmt+7C4+C4DQGvIhs5JO3t8JphGYM52Zp5W/BoZImqi5ehBBYBac0Hud3hR3akqyb4QSuBrBTwT0o2A==" saltValue="f0waAKKaoKIPDYSL5tPNU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146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38</v>
      </c>
      <c r="C8" s="38"/>
      <c r="D8" s="38"/>
      <c r="E8" s="7">
        <f>'Fane 2.2. Økonomisk ramme 2021'!E14</f>
        <v>2884092.1447781078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Bortfald'!C24+'Fane 10. Bortfald'!E24)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SUM(E8:E9)*'Fane 12. Nøgletal'!C12</f>
        <v>56816.615252128722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-49995.448920514027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2890913.3111097226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Nøgletal'!C12)^2</f>
        <v>2230815.3898959626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Engangstillæg'!C27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Engangstillæg'!E27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2.2. Økonomisk ramme 2021'!E22</f>
        <v>-429037.85168275703</v>
      </c>
      <c r="F20" s="36" t="s">
        <v>3</v>
      </c>
      <c r="G20" s="1"/>
    </row>
    <row r="21" spans="1:7" x14ac:dyDescent="0.25">
      <c r="A21" s="1"/>
      <c r="B21" s="42" t="s">
        <v>40</v>
      </c>
      <c r="C21" s="42"/>
      <c r="D21" s="42"/>
      <c r="E21" s="10">
        <f>SUM(E12,E14,E18,E20)</f>
        <v>4692690.8493229281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XwKzuMNL0Z1BSiCuG5aB2EMwsmPpkrkCMvwCLhpwv0gEcTPyWCMjgSvNWwlG2xhP+vnC3Sy2SNzYlasoDtJKA==" saltValue="zggJujNtQTThnhhOU2xp8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6" t="s">
        <v>145</v>
      </c>
      <c r="C3" s="66"/>
      <c r="D3" s="66"/>
      <c r="E3" s="66"/>
      <c r="F3" s="66"/>
      <c r="G3" s="1"/>
    </row>
    <row r="4" spans="1:7" ht="15" customHeight="1" x14ac:dyDescent="0.25">
      <c r="A4" s="1"/>
      <c r="B4" s="66"/>
      <c r="C4" s="66"/>
      <c r="D4" s="66"/>
      <c r="E4" s="66"/>
      <c r="F4" s="66"/>
      <c r="G4" s="1"/>
    </row>
    <row r="5" spans="1:7" x14ac:dyDescent="0.25">
      <c r="A5" s="1"/>
      <c r="B5" s="67" t="s">
        <v>29</v>
      </c>
      <c r="C5" s="67"/>
      <c r="D5" s="67"/>
      <c r="E5" s="67"/>
      <c r="F5" s="6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2" t="s">
        <v>19</v>
      </c>
      <c r="C7" s="42"/>
      <c r="D7" s="42"/>
      <c r="E7" s="42"/>
      <c r="F7" s="42"/>
      <c r="G7" s="1"/>
    </row>
    <row r="8" spans="1:7" ht="15" customHeight="1" x14ac:dyDescent="0.25">
      <c r="A8" s="1"/>
      <c r="B8" s="38" t="s">
        <v>167</v>
      </c>
      <c r="C8" s="38"/>
      <c r="D8" s="38"/>
      <c r="E8" s="7">
        <f>'Fane 2.3. Økonomisk ramme 2022'!E12</f>
        <v>2890913.3111097226</v>
      </c>
      <c r="F8" s="38" t="s">
        <v>3</v>
      </c>
      <c r="G8" s="1"/>
    </row>
    <row r="9" spans="1:7" ht="15" customHeight="1" x14ac:dyDescent="0.25">
      <c r="A9" s="1"/>
      <c r="B9" s="38" t="s">
        <v>144</v>
      </c>
      <c r="C9" s="38"/>
      <c r="D9" s="38"/>
      <c r="E9" s="7">
        <f>-('Fane 10. Bortfald'!C30+'Fane 10. Bortfald'!E30)</f>
        <v>0</v>
      </c>
      <c r="F9" s="38" t="s">
        <v>3</v>
      </c>
      <c r="G9" s="1"/>
    </row>
    <row r="10" spans="1:7" ht="15" customHeight="1" x14ac:dyDescent="0.25">
      <c r="A10" s="1"/>
      <c r="B10" s="39" t="s">
        <v>26</v>
      </c>
      <c r="C10" s="38"/>
      <c r="D10" s="38"/>
      <c r="E10" s="8">
        <f>E8*'Fane 12. Nøgletal'!C12</f>
        <v>56950.992228861534</v>
      </c>
      <c r="F10" s="38" t="s">
        <v>3</v>
      </c>
      <c r="G10" s="1"/>
    </row>
    <row r="11" spans="1:7" ht="15" customHeight="1" x14ac:dyDescent="0.25">
      <c r="A11" s="1"/>
      <c r="B11" s="39" t="s">
        <v>115</v>
      </c>
      <c r="C11" s="38"/>
      <c r="D11" s="38"/>
      <c r="E11" s="8">
        <f>-SUM(E8:E10)*'Fane 12. Nøgletal'!C17</f>
        <v>-50113.69315675593</v>
      </c>
      <c r="F11" s="38" t="s">
        <v>3</v>
      </c>
      <c r="G11" s="1"/>
    </row>
    <row r="12" spans="1:7" x14ac:dyDescent="0.25">
      <c r="A12" s="1"/>
      <c r="B12" s="41" t="s">
        <v>28</v>
      </c>
      <c r="C12" s="41"/>
      <c r="D12" s="41"/>
      <c r="E12" s="9">
        <f>SUM(E8:E11)</f>
        <v>2897750.610181828</v>
      </c>
      <c r="F12" s="36" t="s">
        <v>3</v>
      </c>
      <c r="G12" s="1"/>
    </row>
    <row r="13" spans="1:7" x14ac:dyDescent="0.25">
      <c r="A13" s="1"/>
      <c r="B13" s="42" t="s">
        <v>16</v>
      </c>
      <c r="C13" s="42"/>
      <c r="D13" s="42"/>
      <c r="E13" s="42"/>
      <c r="F13" s="42"/>
      <c r="G13" s="1"/>
    </row>
    <row r="14" spans="1:7" ht="15" customHeight="1" x14ac:dyDescent="0.25">
      <c r="A14" s="1"/>
      <c r="B14" s="36" t="s">
        <v>16</v>
      </c>
      <c r="C14" s="36"/>
      <c r="D14" s="36"/>
      <c r="E14" s="9">
        <f>'Fane 4. Ikke-påvirkelige omk.'!C15*(1+'Fane 12. Nøgletal'!C12)^3</f>
        <v>2274762.453076913</v>
      </c>
      <c r="F14" s="36" t="s">
        <v>3</v>
      </c>
      <c r="G14" s="1"/>
    </row>
    <row r="15" spans="1:7" ht="15" customHeight="1" x14ac:dyDescent="0.25">
      <c r="A15" s="1"/>
      <c r="B15" s="42" t="s">
        <v>84</v>
      </c>
      <c r="C15" s="42"/>
      <c r="D15" s="42"/>
      <c r="E15" s="42"/>
      <c r="F15" s="42"/>
      <c r="G15" s="1"/>
    </row>
    <row r="16" spans="1:7" ht="15" customHeight="1" x14ac:dyDescent="0.25">
      <c r="A16" s="1"/>
      <c r="B16" s="31" t="s">
        <v>80</v>
      </c>
      <c r="C16" s="38"/>
      <c r="D16" s="38"/>
      <c r="E16" s="8">
        <f>'Fane 8.2. Engangstillæg'!C34</f>
        <v>0</v>
      </c>
      <c r="F16" s="38" t="s">
        <v>3</v>
      </c>
      <c r="G16" s="1"/>
    </row>
    <row r="17" spans="1:7" ht="15" customHeight="1" x14ac:dyDescent="0.25">
      <c r="A17" s="1"/>
      <c r="B17" s="31" t="s">
        <v>81</v>
      </c>
      <c r="C17" s="38"/>
      <c r="D17" s="38"/>
      <c r="E17" s="8">
        <f>'Fane 8.2. Engangstillæg'!E34</f>
        <v>0</v>
      </c>
      <c r="F17" s="38" t="s">
        <v>3</v>
      </c>
      <c r="G17" s="1"/>
    </row>
    <row r="18" spans="1:7" ht="15" customHeight="1" x14ac:dyDescent="0.25">
      <c r="A18" s="1"/>
      <c r="B18" s="43" t="s">
        <v>85</v>
      </c>
      <c r="C18" s="41"/>
      <c r="D18" s="41"/>
      <c r="E18" s="9">
        <f>SUM(E16:E17)</f>
        <v>0</v>
      </c>
      <c r="F18" s="36" t="s">
        <v>3</v>
      </c>
      <c r="G18" s="1"/>
    </row>
    <row r="19" spans="1:7" ht="15" customHeight="1" x14ac:dyDescent="0.25">
      <c r="A19" s="1"/>
      <c r="B19" s="42" t="s">
        <v>95</v>
      </c>
      <c r="C19" s="42"/>
      <c r="D19" s="42"/>
      <c r="E19" s="42"/>
      <c r="F19" s="42"/>
      <c r="G19" s="1"/>
    </row>
    <row r="20" spans="1:7" ht="15" customHeight="1" x14ac:dyDescent="0.25">
      <c r="A20" s="1"/>
      <c r="B20" s="36" t="s">
        <v>131</v>
      </c>
      <c r="C20" s="36"/>
      <c r="D20" s="36"/>
      <c r="E20" s="9">
        <f>'Fane 2.3. Økonomisk ramme 2022'!E20</f>
        <v>-429037.85168275703</v>
      </c>
      <c r="F20" s="36" t="s">
        <v>3</v>
      </c>
      <c r="G20" s="1"/>
    </row>
    <row r="21" spans="1:7" x14ac:dyDescent="0.25">
      <c r="A21" s="1"/>
      <c r="B21" s="42" t="s">
        <v>89</v>
      </c>
      <c r="C21" s="42"/>
      <c r="D21" s="42"/>
      <c r="E21" s="10">
        <f>SUM(E12,E14,E18,E20)</f>
        <v>4743475.211575984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SHjsPkQZzVbqvsS45Xp5UXnVkwjjgdMtswd1ZgVmVnLEEdBYsQ71/6QAkalz0U2wTEX+GZNOY6hegh1H30Z+Lw==" saltValue="DJlnADwwNpo4kfpqHIRGSg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1" t="s">
        <v>138</v>
      </c>
      <c r="C3" s="71"/>
      <c r="D3" s="71"/>
      <c r="E3" s="71"/>
      <c r="F3" s="71"/>
      <c r="G3" s="1"/>
    </row>
    <row r="4" spans="1:7" ht="29.2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2" t="s">
        <v>72</v>
      </c>
      <c r="C8" s="42"/>
      <c r="D8" s="42"/>
      <c r="E8" s="42"/>
      <c r="F8" s="42"/>
      <c r="G8" s="1"/>
    </row>
    <row r="9" spans="1:7" x14ac:dyDescent="0.25">
      <c r="A9" s="1"/>
      <c r="B9" s="72" t="s">
        <v>70</v>
      </c>
      <c r="C9" s="72"/>
      <c r="D9" s="72"/>
      <c r="E9" s="7">
        <v>2818374.7266982663</v>
      </c>
      <c r="F9" s="38" t="s">
        <v>3</v>
      </c>
      <c r="G9" s="1"/>
    </row>
    <row r="10" spans="1:7" x14ac:dyDescent="0.25">
      <c r="A10" s="1"/>
      <c r="B10" s="74" t="s">
        <v>140</v>
      </c>
      <c r="C10" s="74"/>
      <c r="D10" s="74"/>
      <c r="E10" s="7">
        <v>0</v>
      </c>
      <c r="F10" s="38" t="s">
        <v>3</v>
      </c>
      <c r="G10" s="1"/>
    </row>
    <row r="11" spans="1:7" x14ac:dyDescent="0.25">
      <c r="A11" s="1"/>
      <c r="B11" s="73" t="s">
        <v>141</v>
      </c>
      <c r="C11" s="73"/>
      <c r="D11" s="73"/>
      <c r="E11" s="7">
        <v>0</v>
      </c>
      <c r="F11" s="38" t="s">
        <v>3</v>
      </c>
      <c r="G11" s="1"/>
    </row>
    <row r="12" spans="1:7" x14ac:dyDescent="0.25">
      <c r="A12" s="1"/>
      <c r="B12" s="73" t="s">
        <v>142</v>
      </c>
      <c r="C12" s="73"/>
      <c r="D12" s="73"/>
      <c r="E12" s="8">
        <v>0</v>
      </c>
      <c r="F12" s="38" t="s">
        <v>3</v>
      </c>
      <c r="G12" s="1"/>
    </row>
    <row r="13" spans="1:7" x14ac:dyDescent="0.25">
      <c r="A13" s="1"/>
      <c r="B13" s="73" t="s">
        <v>26</v>
      </c>
      <c r="C13" s="73"/>
      <c r="D13" s="73"/>
      <c r="E13" s="8">
        <f>(SUM(E9:E9)-SUM(E10:E10))*'Fane 12. Nøgletal'!C9+SUM(E10:E10)*'Fane 12. Nøgletal'!C10+SUM(E11:E12)*'Fane 12. Nøgletal'!C11</f>
        <v>35793.359029067979</v>
      </c>
      <c r="F13" s="38" t="s">
        <v>3</v>
      </c>
      <c r="G13" s="1"/>
    </row>
    <row r="14" spans="1:7" x14ac:dyDescent="0.25">
      <c r="A14" s="1"/>
      <c r="B14" s="73" t="s">
        <v>115</v>
      </c>
      <c r="C14" s="73"/>
      <c r="D14" s="73"/>
      <c r="E14" s="8">
        <f>-SUM(E9:E9,E11:E13)*'Fane 12. Nøgletal'!C17</f>
        <v>-48520.857457364691</v>
      </c>
      <c r="F14" s="38" t="s">
        <v>3</v>
      </c>
      <c r="G14" s="1"/>
    </row>
    <row r="15" spans="1:7" x14ac:dyDescent="0.25">
      <c r="A15" s="1"/>
      <c r="B15" s="75" t="s">
        <v>28</v>
      </c>
      <c r="C15" s="75"/>
      <c r="D15" s="75"/>
      <c r="E15" s="9">
        <f>SUM(E9,E11:E14)</f>
        <v>2805647.2282699696</v>
      </c>
      <c r="F15" s="36" t="s">
        <v>3</v>
      </c>
      <c r="G15" s="1"/>
    </row>
    <row r="16" spans="1:7" x14ac:dyDescent="0.25">
      <c r="A16" s="1"/>
      <c r="B16" s="76" t="s">
        <v>16</v>
      </c>
      <c r="C16" s="76"/>
      <c r="D16" s="76"/>
      <c r="E16" s="42"/>
      <c r="F16" s="42"/>
      <c r="G16" s="1"/>
    </row>
    <row r="17" spans="1:7" x14ac:dyDescent="0.25">
      <c r="A17" s="1"/>
      <c r="B17" s="70" t="s">
        <v>16</v>
      </c>
      <c r="C17" s="70"/>
      <c r="D17" s="70"/>
      <c r="E17" s="9">
        <v>1989122.6137147695</v>
      </c>
      <c r="F17" s="36" t="s">
        <v>3</v>
      </c>
      <c r="G17" s="1"/>
    </row>
    <row r="18" spans="1:7" x14ac:dyDescent="0.25">
      <c r="A18" s="1"/>
      <c r="B18" s="42" t="s">
        <v>71</v>
      </c>
      <c r="C18" s="42"/>
      <c r="D18" s="42"/>
      <c r="E18" s="42"/>
      <c r="F18" s="42"/>
      <c r="G18" s="1"/>
    </row>
    <row r="19" spans="1:7" ht="27" customHeight="1" x14ac:dyDescent="0.25">
      <c r="A19" s="1"/>
      <c r="B19" s="69" t="s">
        <v>74</v>
      </c>
      <c r="C19" s="69"/>
      <c r="D19" s="69"/>
      <c r="E19" s="9">
        <v>8950.9652345618924</v>
      </c>
      <c r="F19" s="36" t="s">
        <v>3</v>
      </c>
      <c r="G19" s="1"/>
    </row>
    <row r="20" spans="1:7" x14ac:dyDescent="0.25">
      <c r="A20" s="1"/>
      <c r="B20" s="42" t="s">
        <v>10</v>
      </c>
      <c r="C20" s="42"/>
      <c r="D20" s="42"/>
      <c r="E20" s="42"/>
      <c r="F20" s="42"/>
      <c r="G20" s="1"/>
    </row>
    <row r="21" spans="1:7" x14ac:dyDescent="0.25">
      <c r="A21" s="1"/>
      <c r="B21" s="70" t="s">
        <v>18</v>
      </c>
      <c r="C21" s="70"/>
      <c r="D21" s="70"/>
      <c r="E21" s="9">
        <v>-481785</v>
      </c>
      <c r="F21" s="36" t="s">
        <v>3</v>
      </c>
      <c r="G21" s="1"/>
    </row>
    <row r="22" spans="1:7" x14ac:dyDescent="0.25">
      <c r="A22" s="1"/>
      <c r="B22" s="42" t="s">
        <v>23</v>
      </c>
      <c r="C22" s="42"/>
      <c r="D22" s="42"/>
      <c r="E22" s="10">
        <f>SUM(E21,E19,E17,E15)</f>
        <v>4321935.8072193004</v>
      </c>
      <c r="F22" s="11" t="s">
        <v>3</v>
      </c>
      <c r="G22" s="1"/>
    </row>
    <row r="23" spans="1:7" ht="28.5" customHeight="1" x14ac:dyDescent="0.25">
      <c r="A23" s="1"/>
      <c r="B23" s="68" t="s">
        <v>118</v>
      </c>
      <c r="C23" s="68"/>
      <c r="D23" s="68"/>
      <c r="E23" s="68"/>
      <c r="F23" s="68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NcUaxmW5u9bEobjxJDmDhddeFzEqgWT/Ib0gFdj3zmmwxJx10+0hZou02eNYyf9WeSxNDS+/DzYmQzUGmnlN8w==" saltValue="41kiI1gbwIeAvruDZr9dNQ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6" t="s">
        <v>110</v>
      </c>
      <c r="C3" s="66"/>
      <c r="D3" s="66"/>
      <c r="E3" s="1"/>
      <c r="F3" s="1"/>
    </row>
    <row r="4" spans="1:6" ht="15" customHeight="1" x14ac:dyDescent="0.25">
      <c r="A4" s="1"/>
      <c r="B4" s="66"/>
      <c r="C4" s="66"/>
      <c r="D4" s="66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7" t="s">
        <v>58</v>
      </c>
      <c r="C8" s="78"/>
      <c r="D8" s="79"/>
      <c r="E8" s="1"/>
      <c r="F8" s="1"/>
    </row>
    <row r="9" spans="1:6" ht="15" customHeight="1" x14ac:dyDescent="0.25">
      <c r="A9" s="1"/>
      <c r="B9" s="19" t="s">
        <v>43</v>
      </c>
      <c r="C9" s="36" t="s">
        <v>59</v>
      </c>
      <c r="D9" s="36"/>
      <c r="E9" s="1"/>
      <c r="F9" s="1"/>
    </row>
    <row r="10" spans="1:6" x14ac:dyDescent="0.25">
      <c r="A10" s="1"/>
      <c r="B10" s="30" t="s">
        <v>163</v>
      </c>
      <c r="C10" s="8">
        <v>1813582</v>
      </c>
      <c r="D10" s="12" t="s">
        <v>3</v>
      </c>
      <c r="E10" s="1"/>
      <c r="F10" s="1"/>
    </row>
    <row r="11" spans="1:6" x14ac:dyDescent="0.25">
      <c r="A11" s="1"/>
      <c r="B11" s="30" t="s">
        <v>164</v>
      </c>
      <c r="C11" s="8">
        <v>3277</v>
      </c>
      <c r="D11" s="12" t="s">
        <v>3</v>
      </c>
      <c r="E11" s="1"/>
      <c r="F11" s="1"/>
    </row>
    <row r="12" spans="1:6" x14ac:dyDescent="0.25">
      <c r="A12" s="1"/>
      <c r="B12" s="30" t="s">
        <v>165</v>
      </c>
      <c r="C12" s="8">
        <v>65</v>
      </c>
      <c r="D12" s="12" t="s">
        <v>3</v>
      </c>
      <c r="E12" s="1"/>
      <c r="F12" s="1"/>
    </row>
    <row r="13" spans="1:6" x14ac:dyDescent="0.25">
      <c r="A13" s="1"/>
      <c r="B13" s="30" t="s">
        <v>166</v>
      </c>
      <c r="C13" s="8">
        <v>246431</v>
      </c>
      <c r="D13" s="12" t="s">
        <v>3</v>
      </c>
      <c r="E13" s="1"/>
      <c r="F13" s="1"/>
    </row>
    <row r="14" spans="1:6" x14ac:dyDescent="0.25">
      <c r="A14" s="1"/>
      <c r="B14" s="46" t="s">
        <v>60</v>
      </c>
      <c r="C14" s="10">
        <f>SUM(C10:C13)</f>
        <v>2063355</v>
      </c>
      <c r="D14" s="11" t="s">
        <v>3</v>
      </c>
      <c r="E14" s="1"/>
      <c r="F14" s="1"/>
    </row>
    <row r="15" spans="1:6" x14ac:dyDescent="0.25">
      <c r="A15" s="1"/>
      <c r="B15" s="46" t="s">
        <v>61</v>
      </c>
      <c r="C15" s="10">
        <f>C14*(1+'Fane 12. Nøgletal'!C12)^2</f>
        <v>2145451.9544419502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zsHmboc57yw27Sq/h/NdrpPWActpNoTCuh+PC5sHZaEMMHC81p8qbxXEXzBtQ+RaGN7WS2RnDRm6morVZuXPnw==" saltValue="NKlC98plgIb/xUuMJ5Izx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119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ht="15" customHeight="1" x14ac:dyDescent="0.25">
      <c r="A5" s="1"/>
      <c r="B5" s="37"/>
      <c r="C5" s="37"/>
      <c r="D5" s="37"/>
      <c r="E5" s="37"/>
      <c r="F5" s="37"/>
      <c r="G5" s="1"/>
    </row>
    <row r="6" spans="1:7" ht="15" customHeight="1" x14ac:dyDescent="0.25">
      <c r="A6" s="1"/>
      <c r="B6" s="80" t="s">
        <v>47</v>
      </c>
      <c r="C6" s="80"/>
      <c r="D6" s="80"/>
      <c r="E6" s="80"/>
      <c r="F6" s="80"/>
      <c r="G6" s="1"/>
    </row>
    <row r="7" spans="1:7" ht="15" customHeight="1" x14ac:dyDescent="0.25">
      <c r="A7" s="1"/>
      <c r="B7" s="81" t="s">
        <v>45</v>
      </c>
      <c r="C7" s="81"/>
      <c r="D7" s="81"/>
      <c r="E7" s="8">
        <v>21764.246666666666</v>
      </c>
      <c r="F7" s="12" t="s">
        <v>3</v>
      </c>
      <c r="G7" s="1"/>
    </row>
    <row r="8" spans="1:7" ht="15" customHeight="1" x14ac:dyDescent="0.25">
      <c r="A8" s="1"/>
      <c r="B8" s="81" t="s">
        <v>46</v>
      </c>
      <c r="C8" s="81"/>
      <c r="D8" s="81"/>
      <c r="E8" s="8">
        <v>-1314738</v>
      </c>
      <c r="F8" s="12" t="s">
        <v>3</v>
      </c>
      <c r="G8" s="1"/>
    </row>
    <row r="9" spans="1:7" ht="15" customHeight="1" x14ac:dyDescent="0.25">
      <c r="A9" s="1"/>
      <c r="B9" s="83" t="s">
        <v>129</v>
      </c>
      <c r="C9" s="84"/>
      <c r="D9" s="85"/>
      <c r="E9" s="9">
        <f>SUM(E7:E8)</f>
        <v>-1292973.7533333334</v>
      </c>
      <c r="F9" s="15" t="s">
        <v>3</v>
      </c>
      <c r="G9" s="1"/>
    </row>
    <row r="10" spans="1:7" ht="15" customHeight="1" x14ac:dyDescent="0.25">
      <c r="A10" s="1"/>
      <c r="B10" s="77"/>
      <c r="C10" s="78"/>
      <c r="D10" s="78"/>
      <c r="E10" s="78"/>
      <c r="F10" s="79"/>
      <c r="G10" s="1"/>
    </row>
    <row r="11" spans="1:7" ht="27" customHeight="1" x14ac:dyDescent="0.25">
      <c r="A11" s="1"/>
      <c r="B11" s="68" t="s">
        <v>113</v>
      </c>
      <c r="C11" s="68"/>
      <c r="D11" s="68"/>
      <c r="E11" s="68"/>
      <c r="F11" s="68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99</v>
      </c>
      <c r="C14" s="80"/>
      <c r="D14" s="80"/>
      <c r="E14" s="80"/>
      <c r="F14" s="80"/>
      <c r="G14" s="1"/>
    </row>
    <row r="15" spans="1:7" x14ac:dyDescent="0.25">
      <c r="A15" s="1"/>
      <c r="B15" s="81" t="s">
        <v>100</v>
      </c>
      <c r="C15" s="81"/>
      <c r="D15" s="81"/>
      <c r="E15" s="8">
        <v>3304797.3693818673</v>
      </c>
      <c r="F15" s="12" t="s">
        <v>3</v>
      </c>
      <c r="G15" s="1"/>
    </row>
    <row r="16" spans="1:7" x14ac:dyDescent="0.25">
      <c r="A16" s="1"/>
      <c r="B16" s="81" t="s">
        <v>101</v>
      </c>
      <c r="C16" s="81"/>
      <c r="D16" s="81"/>
      <c r="E16" s="8">
        <v>3458482</v>
      </c>
      <c r="F16" s="12" t="s">
        <v>3</v>
      </c>
      <c r="G16" s="1"/>
    </row>
    <row r="17" spans="1:7" x14ac:dyDescent="0.25">
      <c r="A17" s="1"/>
      <c r="B17" s="81" t="s">
        <v>44</v>
      </c>
      <c r="C17" s="81"/>
      <c r="D17" s="81"/>
      <c r="E17" s="8">
        <v>0</v>
      </c>
      <c r="F17" s="12" t="s">
        <v>3</v>
      </c>
      <c r="G17" s="1"/>
    </row>
    <row r="18" spans="1:7" x14ac:dyDescent="0.25">
      <c r="A18" s="1"/>
      <c r="B18" s="82" t="s">
        <v>130</v>
      </c>
      <c r="C18" s="82"/>
      <c r="D18" s="82"/>
      <c r="E18" s="9">
        <f>E15-(E16-E17)</f>
        <v>-153684.63061813265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68" t="s">
        <v>112</v>
      </c>
      <c r="C20" s="68"/>
      <c r="D20" s="68"/>
      <c r="E20" s="68"/>
      <c r="F20" s="68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80" t="s">
        <v>66</v>
      </c>
      <c r="C23" s="80"/>
      <c r="D23" s="80"/>
      <c r="E23" s="80"/>
      <c r="F23" s="80"/>
      <c r="G23" s="1"/>
    </row>
    <row r="24" spans="1:7" x14ac:dyDescent="0.25">
      <c r="A24" s="1"/>
      <c r="B24" s="81" t="s">
        <v>67</v>
      </c>
      <c r="C24" s="81"/>
      <c r="D24" s="81"/>
      <c r="E24" s="8">
        <v>3193453.977220438</v>
      </c>
      <c r="F24" s="12" t="s">
        <v>3</v>
      </c>
      <c r="G24" s="1"/>
    </row>
    <row r="25" spans="1:7" x14ac:dyDescent="0.25">
      <c r="A25" s="1"/>
      <c r="B25" s="81" t="s">
        <v>68</v>
      </c>
      <c r="C25" s="81"/>
      <c r="D25" s="81"/>
      <c r="E25" s="8">
        <v>3462947</v>
      </c>
      <c r="F25" s="12" t="s">
        <v>3</v>
      </c>
      <c r="G25" s="1"/>
    </row>
    <row r="26" spans="1:7" x14ac:dyDescent="0.25">
      <c r="A26" s="1"/>
      <c r="B26" s="81" t="s">
        <v>44</v>
      </c>
      <c r="C26" s="81"/>
      <c r="D26" s="81"/>
      <c r="E26" s="8">
        <v>0</v>
      </c>
      <c r="F26" s="12" t="s">
        <v>3</v>
      </c>
      <c r="G26" s="1"/>
    </row>
    <row r="27" spans="1:7" x14ac:dyDescent="0.25">
      <c r="A27" s="1"/>
      <c r="B27" s="82" t="s">
        <v>130</v>
      </c>
      <c r="C27" s="82"/>
      <c r="D27" s="82"/>
      <c r="E27" s="9">
        <f>E24-(E25-E26)</f>
        <v>-269493.02277956204</v>
      </c>
      <c r="F27" s="15" t="s">
        <v>3</v>
      </c>
      <c r="G27" s="1"/>
    </row>
    <row r="28" spans="1:7" x14ac:dyDescent="0.25">
      <c r="A28" s="1"/>
      <c r="B28" s="77"/>
      <c r="C28" s="78"/>
      <c r="D28" s="78"/>
      <c r="E28" s="78"/>
      <c r="F28" s="7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0" t="s">
        <v>114</v>
      </c>
      <c r="C31" s="80"/>
      <c r="D31" s="80"/>
      <c r="E31" s="80"/>
      <c r="F31" s="80"/>
      <c r="G31" s="1"/>
    </row>
    <row r="32" spans="1:7" x14ac:dyDescent="0.25">
      <c r="A32" s="1"/>
      <c r="B32" s="74" t="s">
        <v>47</v>
      </c>
      <c r="C32" s="74"/>
      <c r="D32" s="74"/>
      <c r="E32" s="8">
        <f>E9</f>
        <v>-1292973.7533333334</v>
      </c>
      <c r="F32" s="12" t="s">
        <v>3</v>
      </c>
      <c r="G32" s="1"/>
    </row>
    <row r="33" spans="1:7" x14ac:dyDescent="0.25">
      <c r="A33" s="1"/>
      <c r="B33" s="74" t="s">
        <v>128</v>
      </c>
      <c r="C33" s="74"/>
      <c r="D33" s="74"/>
      <c r="E33" s="8">
        <f>IF(E18+E27&lt;0,E18+E27,0)</f>
        <v>-423177.6533976947</v>
      </c>
      <c r="F33" s="12" t="s">
        <v>3</v>
      </c>
      <c r="G33" s="1"/>
    </row>
    <row r="34" spans="1:7" x14ac:dyDescent="0.25">
      <c r="A34" s="1"/>
      <c r="B34" s="74" t="s">
        <v>122</v>
      </c>
      <c r="C34" s="74"/>
      <c r="D34" s="74"/>
      <c r="E34" s="8">
        <v>4</v>
      </c>
      <c r="F34" s="12" t="s">
        <v>27</v>
      </c>
      <c r="G34" s="1"/>
    </row>
    <row r="35" spans="1:7" x14ac:dyDescent="0.25">
      <c r="A35" s="1"/>
      <c r="B35" s="82" t="s">
        <v>148</v>
      </c>
      <c r="C35" s="82"/>
      <c r="D35" s="82"/>
      <c r="E35" s="9">
        <f>SUM(E32:E33)/E34</f>
        <v>-429037.85168275703</v>
      </c>
      <c r="F35" s="15" t="s">
        <v>3</v>
      </c>
      <c r="G35" s="1"/>
    </row>
    <row r="36" spans="1:7" x14ac:dyDescent="0.25">
      <c r="A36" s="1"/>
      <c r="B36" s="80"/>
      <c r="C36" s="80"/>
      <c r="D36" s="80"/>
      <c r="E36" s="80"/>
      <c r="F36" s="80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cBTvLhbBAuEtshQHxR3+T1OFUI/8zrmQo26uSezsewGfeN5ajnOC0QIrRTud/Qbz8kILPmHU4+d48dz0Ania7w==" saltValue="5QGMb2xlY7yormmKBvoSCQ==" spinCount="100000" sheet="1" objects="1" scenarios="1"/>
  <mergeCells count="26"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1" t="s">
        <v>149</v>
      </c>
      <c r="C3" s="71"/>
      <c r="D3" s="71"/>
      <c r="E3" s="71"/>
      <c r="F3" s="71"/>
      <c r="G3" s="1"/>
    </row>
    <row r="4" spans="1:7" ht="15" customHeight="1" x14ac:dyDescent="0.25">
      <c r="A4" s="1"/>
      <c r="B4" s="71"/>
      <c r="C4" s="71"/>
      <c r="D4" s="71"/>
      <c r="E4" s="71"/>
      <c r="F4" s="7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80" t="s">
        <v>94</v>
      </c>
      <c r="C8" s="80"/>
      <c r="D8" s="80"/>
      <c r="E8" s="80"/>
      <c r="F8" s="80"/>
      <c r="G8" s="1"/>
    </row>
    <row r="9" spans="1:7" ht="28.5" customHeight="1" x14ac:dyDescent="0.25">
      <c r="A9" s="1"/>
      <c r="B9" s="69" t="s">
        <v>98</v>
      </c>
      <c r="C9" s="69"/>
      <c r="D9" s="69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6" t="s">
        <v>3</v>
      </c>
      <c r="G9" s="1"/>
    </row>
    <row r="10" spans="1:7" x14ac:dyDescent="0.25">
      <c r="A10" s="1"/>
      <c r="B10" s="42" t="s">
        <v>109</v>
      </c>
      <c r="C10" s="42"/>
      <c r="D10" s="42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MLmEdIx9VxgP03pUqtiZefQNzWJTwgk02JSDcI9RVqqtQuH8+gbPrr55Ma8Zf3KqQ6ulG/THkU/lePBjZblX2w==" saltValue="QfDmi+3tbG6nri5E7EFULw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2019-09-12T13:38:51Z</dcterms:modified>
</cp:coreProperties>
</file>