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Overfladevand AS (V111)\ØR2020\"/>
    </mc:Choice>
  </mc:AlternateContent>
  <bookViews>
    <workbookView xWindow="3105" yWindow="990" windowWidth="12735" windowHeight="4620" tabRatio="797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D26" i="11" l="1"/>
  <c r="D25" i="11"/>
  <c r="D24" i="11"/>
  <c r="D23" i="11"/>
  <c r="D22" i="11"/>
  <c r="D21" i="11"/>
  <c r="F27" i="11" l="1"/>
  <c r="G27" i="11"/>
  <c r="E21" i="11"/>
  <c r="E22" i="11" l="1"/>
  <c r="E23" i="11"/>
  <c r="E24" i="11"/>
  <c r="E25" i="11"/>
  <c r="E26" i="11"/>
  <c r="E27" i="11" l="1"/>
  <c r="C14" i="39"/>
  <c r="E18" i="11"/>
  <c r="E17" i="11"/>
  <c r="E16" i="11"/>
  <c r="E15" i="11"/>
  <c r="E14" i="11"/>
  <c r="E13" i="11"/>
  <c r="E12" i="11"/>
  <c r="E11" i="11"/>
  <c r="E19" i="11" l="1"/>
  <c r="E20" i="11"/>
  <c r="E10" i="11"/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8" i="39"/>
  <c r="C38" i="39"/>
  <c r="E30" i="39"/>
  <c r="C30" i="39"/>
  <c r="E22" i="39"/>
  <c r="C22" i="39"/>
  <c r="E14" i="39"/>
  <c r="C16" i="39" l="1"/>
  <c r="C15" i="39"/>
  <c r="C32" i="39"/>
  <c r="C31" i="39"/>
  <c r="C24" i="39"/>
  <c r="C23" i="39"/>
  <c r="C25" i="39" s="1"/>
  <c r="C20" i="15" s="1"/>
  <c r="E16" i="39"/>
  <c r="E15" i="39"/>
  <c r="E32" i="39"/>
  <c r="E31" i="39"/>
  <c r="E33" i="39" s="1"/>
  <c r="C20" i="22" s="1"/>
  <c r="C40" i="39"/>
  <c r="C39" i="39"/>
  <c r="E24" i="39"/>
  <c r="E23" i="39"/>
  <c r="E40" i="39"/>
  <c r="E39" i="39"/>
  <c r="E17" i="39" l="1"/>
  <c r="C25" i="2" s="1"/>
  <c r="C33" i="39"/>
  <c r="C19" i="22" s="1"/>
  <c r="C41" i="39"/>
  <c r="C19" i="23" s="1"/>
  <c r="E41" i="39"/>
  <c r="C20" i="23" s="1"/>
  <c r="E25" i="39"/>
  <c r="C21" i="15" s="1"/>
  <c r="C21" i="22"/>
  <c r="C17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C10" i="37" l="1"/>
  <c r="C11" i="37" s="1"/>
  <c r="C12" i="37" s="1"/>
  <c r="C10" i="2" s="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0" i="37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<sst xmlns="http://schemas.openxmlformats.org/spreadsheetml/2006/main" count="631" uniqueCount="254">
  <si>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</si>
  <si>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</si>
  <si>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</si>
  <si>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</si>
  <si>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</si>
  <si>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</si>
  <si>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</si>
  <si>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</si>
  <si>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</si>
  <si>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</si>
  <si>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</si>
  <si>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</si>
  <si>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</si>
  <si>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</si>
  <si>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</si>
  <si>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</si>
  <si>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</si>
  <si>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</si>
  <si>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</si>
  <si>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</si>
  <si>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</si>
  <si>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</si>
  <si>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</si>
  <si>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</si>
  <si>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</si>
  <si>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</si>
  <si>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</si>
  <si>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</si>
  <si>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</si>
  <si>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</si>
  <si>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</si>
  <si>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</si>
  <si>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</si>
  <si>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</si>
  <si>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</si>
  <si>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</si>
  <si>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</si>
  <si>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</si>
  <si>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</si>
  <si>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</si>
  <si>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</si>
  <si>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</si>
  <si>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</si>
  <si>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</si>
  <si>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</si>
  <si>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</si>
  <si>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</si>
  <si>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</si>
  <si>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</si>
  <si>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</si>
  <si>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</si>
  <si>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</si>
  <si>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</si>
  <si>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</si>
  <si>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</si>
  <si>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</si>
  <si>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</si>
  <si>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</si>
  <si>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</si>
  <si>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</si>
  <si>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</si>
  <si>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</si>
  <si>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</si>
  <si>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</si>
  <si>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</si>
  <si>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</si>
  <si>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</si>
  <si>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</si>
  <si>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</si>
  <si>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</si>
  <si>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</si>
  <si>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</si>
  <si>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</si>
  <si>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</si>
  <si>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</si>
  <si>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</si>
  <si>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</si>
  <si>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</si>
  <si>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</si>
  <si>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</si>
  <si>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</si>
  <si>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</si>
  <si>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</si>
  <si>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</si>
  <si>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</si>
  <si>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</si>
  <si>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</si>
  <si>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</si>
  <si>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</si>
  <si>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</si>
  <si>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</si>
  <si>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</si>
  <si>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</si>
  <si>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</si>
  <si>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</si>
  <si>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</si>
  <si>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</si>
  <si>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</si>
  <si>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</si>
  <si>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</si>
  <si>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</si>
  <si>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</si>
  <si>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</si>
  <si>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</si>
  <si>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</si>
  <si>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</si>
  <si>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</si>
  <si>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</si>
  <si>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</si>
  <si>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</si>
  <si>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</si>
  <si>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</si>
  <si>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</si>
  <si>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</si>
  <si>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</si>
  <si>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</si>
  <si>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</si>
  <si>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</si>
  <si>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</si>
  <si>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</si>
  <si>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</si>
  <si>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</si>
  <si>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</si>
  <si>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</si>
  <si>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</si>
  <si>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</si>
  <si>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</si>
  <si>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</si>
  <si>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</si>
  <si>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</si>
  <si>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</si>
  <si>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</si>
  <si>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</si>
  <si>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</si>
  <si>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</si>
  <si>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</si>
  <si>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</si>
  <si>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</si>
  <si>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</si>
  <si>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</si>
  <si>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</si>
  <si>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</si>
  <si>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</si>
  <si>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</si>
  <si>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</si>
  <si>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</si>
  <si>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</si>
  <si>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</si>
  <si>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</si>
  <si>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</si>
  <si>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</si>
  <si>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</si>
  <si>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</si>
  <si>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</si>
  <si>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</si>
  <si>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</si>
  <si>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</si>
  <si>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</si>
  <si>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</si>
  <si>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</si>
  <si>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</si>
  <si>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</si>
  <si>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</si>
  <si>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</si>
  <si>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</si>
  <si>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</si>
  <si>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</si>
  <si>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</si>
  <si>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</si>
  <si>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</si>
  <si>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</si>
  <si>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</si>
  <si>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</si>
  <si>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</si>
  <si>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</si>
  <si>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</si>
  <si>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</si>
  <si>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</si>
  <si>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</si>
  <si>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</si>
  <si>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</si>
  <si>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</si>
  <si>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</si>
  <si>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</si>
  <si>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</si>
  <si>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</si>
  <si>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</si>
  <si>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</si>
  <si>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</si>
  <si>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</si>
  <si>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</si>
  <si>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</si>
  <si>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</si>
  <si>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</si>
  <si>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</si>
  <si>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</si>
  <si>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</si>
  <si>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</si>
  <si>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</si>
  <si>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</si>
  <si>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</si>
  <si>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</si>
  <si>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</si>
  <si>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</si>
  <si>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</si>
  <si>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</si>
  <si>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</si>
  <si>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</si>
  <si>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</si>
  <si>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</si>
  <si>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</si>
  <si>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</si>
  <si>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</si>
  <si>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</si>
  <si>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</si>
  <si>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</si>
  <si>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</si>
  <si>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</si>
  <si>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</si>
  <si>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</si>
  <si>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</si>
  <si>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</si>
  <si>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</si>
  <si>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</si>
  <si>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</si>
  <si>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</si>
  <si>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</si>
  <si>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</si>
  <si>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</si>
  <si>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</si>
  <si>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</si>
  <si>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</si>
  <si>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</si>
  <si>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</si>
  <si>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</si>
  <si>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</si>
  <si>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</si>
  <si>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</si>
  <si>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engangstillæg</t>
  </si>
  <si>
    <t>Laboratorium (bygning, inkl. inventar+udstyr), Mek./EL</t>
  </si>
  <si>
    <t>SRO-anlæg, vandværk</t>
  </si>
  <si>
    <t>Elanlæg - vandværk</t>
  </si>
  <si>
    <t>Filteranlæg, åbne filtre, dobbelt filtrering, Mek./EL</t>
  </si>
  <si>
    <t>Skyllevandsbehandling, inkl. UV-filter mv., Mek./EL</t>
  </si>
  <si>
    <t>Udpumpningsanlæg, rentvandspumper på vandværk</t>
  </si>
  <si>
    <t>Arbejdsplads</t>
  </si>
  <si>
    <t>Rentvandsbeholder  element</t>
  </si>
  <si>
    <t>Etageareal vandbehandlingsbygning</t>
  </si>
  <si>
    <t>Anlægsprojekter igangsat senest 1. marts 2016</t>
  </si>
  <si>
    <t>Til indregning i den økonomiske ramme for 2020</t>
  </si>
  <si>
    <t>Tillæg/fradrag i den økonomiske ramme for 2020 i alt</t>
  </si>
  <si>
    <t>Videreførte omkostninger fra den økonomiske ramme for 2022</t>
  </si>
  <si>
    <t>Ø 250 mm &lt; Ledningsnet ≤ Ø 500mm</t>
  </si>
  <si>
    <t>Bortfald af tillæg fra ØR19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</si>
</sst>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192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56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22</v>
      </c>
      <c r="D14" s="64" t="s">
        <v>177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55</v>
      </c>
      <c r="D15" s="64" t="s">
        <v>133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57</v>
      </c>
      <c r="D16" s="64" t="s">
        <v>134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224</v>
      </c>
      <c r="D17" s="64" t="s">
        <v>66</v>
      </c>
      <c r="E17" s="65"/>
      <c r="F17" s="65"/>
      <c r="G17" s="66"/>
      <c r="H17" s="1"/>
      <c r="I17" s="1"/>
    </row>
    <row r="18" spans="1:9" x14ac:dyDescent="0.25">
      <c r="A18" s="1"/>
      <c r="B18" s="1"/>
      <c r="C18" s="34" t="s">
        <v>196</v>
      </c>
      <c r="D18" s="70" t="s">
        <v>162</v>
      </c>
      <c r="E18" s="71"/>
      <c r="F18" s="71"/>
      <c r="G18" s="72"/>
      <c r="H18" s="1"/>
      <c r="I18" s="1"/>
    </row>
    <row r="19" spans="1:9" x14ac:dyDescent="0.25">
      <c r="A19" s="1"/>
      <c r="B19" s="1"/>
      <c r="C19" s="34" t="s">
        <v>197</v>
      </c>
      <c r="D19" s="70" t="s">
        <v>163</v>
      </c>
      <c r="E19" s="71"/>
      <c r="F19" s="71"/>
      <c r="G19" s="72"/>
      <c r="H19" s="1"/>
      <c r="I19" s="1"/>
    </row>
    <row r="20" spans="1:9" x14ac:dyDescent="0.25">
      <c r="A20" s="1"/>
      <c r="B20" s="1"/>
      <c r="C20" s="34" t="s">
        <v>7</v>
      </c>
      <c r="D20" s="70" t="s">
        <v>10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198</v>
      </c>
      <c r="D21" s="61" t="s">
        <v>17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52" t="s">
        <v>11</v>
      </c>
      <c r="E29" s="53"/>
      <c r="F29" s="53"/>
      <c r="G29" s="54"/>
      <c r="H29" s="1"/>
      <c r="I29" s="1"/>
    </row>
    <row r="30" spans="1:9" x14ac:dyDescent="0.25">
      <c r="A30" s="1"/>
      <c r="B30" s="1"/>
      <c r="C30" s="6" t="s">
        <v>62</v>
      </c>
      <c r="D30" s="58" t="s">
        <v>184</v>
      </c>
      <c r="E30" s="59"/>
      <c r="F30" s="59"/>
      <c r="G30" s="60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aNE7gbgoHx0j3SYN0lxxRRJF7QPnyuQFjarPen9HS4Ft188u5YWdhAwsEGjAv8s8F0CD7Gohtm8wDtD8V9c6WQ==" saltValue="IPUqr0IU998SCb1931S37g==" spinCount="100000" sheet="1" objects="1" scenarios="1"/>
  <mergeCells count="21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204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69</v>
      </c>
      <c r="C8" s="97"/>
      <c r="D8" s="98"/>
      <c r="E8" s="1"/>
      <c r="F8" s="1"/>
    </row>
    <row r="9" spans="1:6" ht="15" customHeight="1" x14ac:dyDescent="0.25">
      <c r="A9" s="1"/>
      <c r="B9" s="40" t="s">
        <v>48</v>
      </c>
      <c r="C9" s="11" t="s">
        <v>70</v>
      </c>
      <c r="D9" s="11"/>
      <c r="E9" s="1"/>
      <c r="F9" s="1"/>
    </row>
    <row r="10" spans="1:6" x14ac:dyDescent="0.25">
      <c r="A10" s="1"/>
      <c r="B10" s="49" t="s">
        <v>234</v>
      </c>
      <c r="C10" s="9">
        <v>21495672</v>
      </c>
      <c r="D10" s="14" t="s">
        <v>3</v>
      </c>
      <c r="E10" s="1"/>
      <c r="F10" s="1"/>
    </row>
    <row r="11" spans="1:6" x14ac:dyDescent="0.25">
      <c r="A11" s="1"/>
      <c r="B11" s="49" t="s">
        <v>235</v>
      </c>
      <c r="C11" s="9">
        <v>64663</v>
      </c>
      <c r="D11" s="14" t="s">
        <v>3</v>
      </c>
      <c r="E11" s="1"/>
      <c r="F11" s="1"/>
    </row>
    <row r="12" spans="1:6" ht="26.25" x14ac:dyDescent="0.25">
      <c r="A12" s="1"/>
      <c r="B12" s="46" t="s">
        <v>236</v>
      </c>
      <c r="C12" s="9">
        <v>1689792</v>
      </c>
      <c r="D12" s="14" t="s">
        <v>3</v>
      </c>
      <c r="E12" s="1"/>
      <c r="F12" s="1"/>
    </row>
    <row r="13" spans="1:6" x14ac:dyDescent="0.25">
      <c r="A13" s="1"/>
      <c r="B13" s="49" t="s">
        <v>237</v>
      </c>
      <c r="C13" s="9">
        <v>20372.16</v>
      </c>
      <c r="D13" s="14" t="s">
        <v>3</v>
      </c>
      <c r="E13" s="1"/>
      <c r="F13" s="1"/>
    </row>
    <row r="14" spans="1:6" x14ac:dyDescent="0.25">
      <c r="A14" s="1"/>
      <c r="B14" s="47" t="s">
        <v>71</v>
      </c>
      <c r="C14" s="12">
        <f>SUM(C10:C13)</f>
        <v>23270499.16</v>
      </c>
      <c r="D14" s="13" t="s">
        <v>3</v>
      </c>
      <c r="E14" s="1"/>
      <c r="F14" s="1"/>
    </row>
    <row r="15" spans="1:6" x14ac:dyDescent="0.25">
      <c r="A15" s="1"/>
      <c r="B15" s="47" t="s">
        <v>72</v>
      </c>
      <c r="C15" s="12">
        <f>C14*(1+'Fane 14. Nøgletal'!C12)^2</f>
        <v>24196387.874923006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wFrbcDBgQSwhk9c9t1zYKMl3i3h3IqvqQ4Ybur+S0+ABlEZfE/A4pkCJzj6UyIpg2dnuHGUckVbAxF1ff18KLQ==" saltValue="YgyGk1RpIwGzIFczHJBCqQ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205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ht="15" customHeight="1" x14ac:dyDescent="0.25">
      <c r="A5" s="1"/>
      <c r="B5" s="45"/>
      <c r="C5" s="45"/>
      <c r="D5" s="45"/>
      <c r="E5" s="45"/>
      <c r="F5" s="45"/>
      <c r="G5" s="1"/>
    </row>
    <row r="6" spans="1:7" ht="15" customHeight="1" x14ac:dyDescent="0.25">
      <c r="A6" s="1"/>
      <c r="B6" s="96" t="s">
        <v>52</v>
      </c>
      <c r="C6" s="97"/>
      <c r="D6" s="97"/>
      <c r="E6" s="97"/>
      <c r="F6" s="98"/>
      <c r="G6" s="1"/>
    </row>
    <row r="7" spans="1:7" ht="15" customHeight="1" x14ac:dyDescent="0.25">
      <c r="A7" s="1"/>
      <c r="B7" s="99" t="s">
        <v>50</v>
      </c>
      <c r="C7" s="100"/>
      <c r="D7" s="101"/>
      <c r="E7" s="9">
        <v>-1682320.6666666667</v>
      </c>
      <c r="F7" s="14" t="s">
        <v>3</v>
      </c>
      <c r="G7" s="1"/>
    </row>
    <row r="8" spans="1:7" ht="15" customHeight="1" x14ac:dyDescent="0.25">
      <c r="A8" s="1"/>
      <c r="B8" s="99" t="s">
        <v>51</v>
      </c>
      <c r="C8" s="100"/>
      <c r="D8" s="101"/>
      <c r="E8" s="9">
        <v>5283429.9341853857</v>
      </c>
      <c r="F8" s="14" t="s">
        <v>3</v>
      </c>
      <c r="G8" s="1"/>
    </row>
    <row r="9" spans="1:7" ht="15" customHeight="1" x14ac:dyDescent="0.25">
      <c r="A9" s="1"/>
      <c r="B9" s="107" t="s">
        <v>186</v>
      </c>
      <c r="C9" s="108"/>
      <c r="D9" s="109"/>
      <c r="E9" s="10">
        <f>SUM(E7:E8)</f>
        <v>3601109.2675187187</v>
      </c>
      <c r="F9" s="17" t="s">
        <v>3</v>
      </c>
      <c r="G9" s="1"/>
    </row>
    <row r="10" spans="1:7" ht="15" customHeight="1" x14ac:dyDescent="0.25">
      <c r="A10" s="1"/>
      <c r="B10" s="47"/>
      <c r="C10" s="48"/>
      <c r="D10" s="48"/>
      <c r="E10" s="48"/>
      <c r="F10" s="22"/>
      <c r="G10" s="1"/>
    </row>
    <row r="11" spans="1:7" ht="28.5" customHeight="1" x14ac:dyDescent="0.25">
      <c r="A11" s="1"/>
      <c r="B11" s="87" t="s">
        <v>188</v>
      </c>
      <c r="C11" s="88"/>
      <c r="D11" s="88"/>
      <c r="E11" s="88"/>
      <c r="F11" s="8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6" t="s">
        <v>165</v>
      </c>
      <c r="C14" s="97"/>
      <c r="D14" s="97"/>
      <c r="E14" s="97"/>
      <c r="F14" s="98"/>
      <c r="G14" s="1"/>
    </row>
    <row r="15" spans="1:7" x14ac:dyDescent="0.25">
      <c r="A15" s="1"/>
      <c r="B15" s="99" t="s">
        <v>166</v>
      </c>
      <c r="C15" s="100"/>
      <c r="D15" s="101"/>
      <c r="E15" s="9">
        <v>29660210.763333332</v>
      </c>
      <c r="F15" s="14" t="s">
        <v>3</v>
      </c>
      <c r="G15" s="1"/>
    </row>
    <row r="16" spans="1:7" x14ac:dyDescent="0.25">
      <c r="A16" s="1"/>
      <c r="B16" s="99" t="s">
        <v>167</v>
      </c>
      <c r="C16" s="100"/>
      <c r="D16" s="101"/>
      <c r="E16" s="9">
        <v>29989361</v>
      </c>
      <c r="F16" s="14" t="s">
        <v>3</v>
      </c>
      <c r="G16" s="1"/>
    </row>
    <row r="17" spans="1:7" x14ac:dyDescent="0.25">
      <c r="A17" s="1"/>
      <c r="B17" s="99" t="s">
        <v>49</v>
      </c>
      <c r="C17" s="100"/>
      <c r="D17" s="101"/>
      <c r="E17" s="9">
        <v>0</v>
      </c>
      <c r="F17" s="14" t="s">
        <v>3</v>
      </c>
      <c r="G17" s="1"/>
    </row>
    <row r="18" spans="1:7" x14ac:dyDescent="0.25">
      <c r="A18" s="1"/>
      <c r="B18" s="107" t="s">
        <v>187</v>
      </c>
      <c r="C18" s="108"/>
      <c r="D18" s="109"/>
      <c r="E18" s="10">
        <f>E15-(E16-E17)</f>
        <v>-329150.23666666821</v>
      </c>
      <c r="F18" s="17" t="s">
        <v>3</v>
      </c>
      <c r="G18" s="1"/>
    </row>
    <row r="19" spans="1:7" x14ac:dyDescent="0.25">
      <c r="A19" s="1"/>
      <c r="B19" s="47"/>
      <c r="C19" s="48"/>
      <c r="D19" s="48"/>
      <c r="E19" s="48"/>
      <c r="F19" s="22"/>
      <c r="G19" s="1"/>
    </row>
    <row r="20" spans="1:7" ht="30" customHeight="1" x14ac:dyDescent="0.25">
      <c r="A20" s="1"/>
      <c r="B20" s="87" t="s">
        <v>189</v>
      </c>
      <c r="C20" s="88"/>
      <c r="D20" s="88"/>
      <c r="E20" s="88"/>
      <c r="F20" s="89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6" t="s">
        <v>77</v>
      </c>
      <c r="C23" s="97"/>
      <c r="D23" s="97"/>
      <c r="E23" s="97"/>
      <c r="F23" s="98"/>
      <c r="G23" s="1"/>
    </row>
    <row r="24" spans="1:7" x14ac:dyDescent="0.25">
      <c r="A24" s="1"/>
      <c r="B24" s="99" t="s">
        <v>78</v>
      </c>
      <c r="C24" s="100"/>
      <c r="D24" s="101"/>
      <c r="E24" s="9">
        <v>30262271.782424062</v>
      </c>
      <c r="F24" s="14" t="s">
        <v>3</v>
      </c>
      <c r="G24" s="1"/>
    </row>
    <row r="25" spans="1:7" x14ac:dyDescent="0.25">
      <c r="A25" s="1"/>
      <c r="B25" s="99" t="s">
        <v>79</v>
      </c>
      <c r="C25" s="100"/>
      <c r="D25" s="101"/>
      <c r="E25" s="9">
        <v>32809188</v>
      </c>
      <c r="F25" s="14" t="s">
        <v>3</v>
      </c>
      <c r="G25" s="1"/>
    </row>
    <row r="26" spans="1:7" x14ac:dyDescent="0.25">
      <c r="A26" s="1"/>
      <c r="B26" s="99" t="s">
        <v>49</v>
      </c>
      <c r="C26" s="100"/>
      <c r="D26" s="101"/>
      <c r="E26" s="9">
        <v>0</v>
      </c>
      <c r="F26" s="14" t="s">
        <v>3</v>
      </c>
      <c r="G26" s="1"/>
    </row>
    <row r="27" spans="1:7" x14ac:dyDescent="0.25">
      <c r="A27" s="1"/>
      <c r="B27" s="107" t="s">
        <v>187</v>
      </c>
      <c r="C27" s="108"/>
      <c r="D27" s="109"/>
      <c r="E27" s="10">
        <f>E24-(E25-E26)</f>
        <v>-2546916.2175759375</v>
      </c>
      <c r="F27" s="17" t="s">
        <v>3</v>
      </c>
      <c r="G27" s="1"/>
    </row>
    <row r="28" spans="1:7" x14ac:dyDescent="0.25">
      <c r="A28" s="1"/>
      <c r="B28" s="47"/>
      <c r="C28" s="48"/>
      <c r="D28" s="48"/>
      <c r="E28" s="48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6" t="s">
        <v>249</v>
      </c>
      <c r="C31" s="97"/>
      <c r="D31" s="97"/>
      <c r="E31" s="97"/>
      <c r="F31" s="98"/>
      <c r="G31" s="1"/>
    </row>
    <row r="32" spans="1:7" x14ac:dyDescent="0.25">
      <c r="A32" s="1"/>
      <c r="B32" s="107" t="s">
        <v>250</v>
      </c>
      <c r="C32" s="108"/>
      <c r="D32" s="109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1635979.5154260253</v>
      </c>
      <c r="F32" s="17" t="s">
        <v>3</v>
      </c>
      <c r="G32" s="1"/>
    </row>
    <row r="33" spans="1:7" x14ac:dyDescent="0.25">
      <c r="A33" s="1"/>
      <c r="B33" s="96"/>
      <c r="C33" s="97"/>
      <c r="D33" s="97"/>
      <c r="E33" s="97"/>
      <c r="F33" s="98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6" t="s">
        <v>180</v>
      </c>
      <c r="C36" s="97"/>
      <c r="D36" s="97"/>
      <c r="E36" s="97"/>
      <c r="F36" s="98"/>
      <c r="G36" s="1"/>
    </row>
    <row r="37" spans="1:7" x14ac:dyDescent="0.25">
      <c r="A37" s="1"/>
      <c r="B37" s="110" t="s">
        <v>53</v>
      </c>
      <c r="C37" s="111"/>
      <c r="D37" s="112"/>
      <c r="E37" s="9">
        <f>IF(AND(E9&gt;0,E18&gt;0),IF(E18+E27&gt;=0,0,IF(E18+E27&lt;0,E18+E27,0)),IF(AND(E9&lt;0,E18&gt;0,ABS(E9)&lt;ABS(E18)),IF(E9+E18+E27&gt;=0,0,IF(E9+E18+E27&lt;0,E9+E18+E27,0)),IF(E27&gt;=0,0,E27)))</f>
        <v>-2546916.2175759375</v>
      </c>
      <c r="F37" s="14" t="s">
        <v>3</v>
      </c>
      <c r="G37" s="1"/>
    </row>
    <row r="38" spans="1:7" x14ac:dyDescent="0.25">
      <c r="A38" s="1"/>
      <c r="B38" s="110" t="s">
        <v>185</v>
      </c>
      <c r="C38" s="111"/>
      <c r="D38" s="112"/>
      <c r="E38" s="9">
        <v>2</v>
      </c>
      <c r="F38" s="14" t="s">
        <v>27</v>
      </c>
      <c r="G38" s="1"/>
    </row>
    <row r="39" spans="1:7" ht="15" customHeight="1" x14ac:dyDescent="0.25">
      <c r="A39" s="1"/>
      <c r="B39" s="107" t="s">
        <v>227</v>
      </c>
      <c r="C39" s="108"/>
      <c r="D39" s="109"/>
      <c r="E39" s="10">
        <f>E37/E38</f>
        <v>-1273458.1087879688</v>
      </c>
      <c r="F39" s="17" t="s">
        <v>3</v>
      </c>
      <c r="G39" s="1"/>
    </row>
    <row r="40" spans="1:7" x14ac:dyDescent="0.25">
      <c r="A40" s="1"/>
      <c r="B40" s="96"/>
      <c r="C40" s="97"/>
      <c r="D40" s="97"/>
      <c r="E40" s="97"/>
      <c r="F40" s="98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S1DSFBg7NROCI81bJOuBY2t30ZkR5p61vXQAQD2qEk1RNSE5zNZBUa6waJbZSPRxOt/yns+nqewiyUK8O8khOQ==" saltValue="uo6MNy90QDocoPMq8u94Jg==" spinCount="100000" sheet="1" objects="1" scenarios="1"/>
  <mergeCells count="25"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3" t="s">
        <v>228</v>
      </c>
      <c r="C3" s="83"/>
      <c r="D3" s="83"/>
      <c r="E3" s="83"/>
      <c r="F3" s="83"/>
      <c r="G3" s="1"/>
    </row>
    <row r="4" spans="1:7" ht="1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159</v>
      </c>
      <c r="C8" s="97"/>
      <c r="D8" s="97"/>
      <c r="E8" s="97"/>
      <c r="F8" s="97"/>
      <c r="G8" s="1"/>
    </row>
    <row r="9" spans="1:7" ht="29.25" customHeight="1" x14ac:dyDescent="0.25">
      <c r="A9" s="1"/>
      <c r="B9" s="93" t="s">
        <v>164</v>
      </c>
      <c r="C9" s="94"/>
      <c r="D9" s="95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47" t="s">
        <v>175</v>
      </c>
      <c r="C10" s="48"/>
      <c r="D10" s="48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dMVL9auQpNGF5PCXqa3V4XE6TFesFYcBmL2uDZgow4+rOye4zEiaHl1GeXWgDq/sggx+vivB++kA1pt0E7c+g==" saltValue="mEwimqibCmKJlnQcm8mpD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62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229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230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ht="39" x14ac:dyDescent="0.25">
      <c r="A10" s="1"/>
      <c r="B10" s="116" t="s">
        <v>239</v>
      </c>
      <c r="C10" s="117">
        <v>10</v>
      </c>
      <c r="D10" s="9">
        <v>112055</v>
      </c>
      <c r="E10" s="9">
        <f>IFERROR(D10/C10,0)</f>
        <v>11205.5</v>
      </c>
      <c r="F10" s="9">
        <v>0</v>
      </c>
      <c r="G10" s="9">
        <v>1726</v>
      </c>
      <c r="H10" s="14" t="s">
        <v>3</v>
      </c>
      <c r="I10" s="1"/>
    </row>
    <row r="11" spans="1:9" x14ac:dyDescent="0.25">
      <c r="A11" s="1"/>
      <c r="B11" s="116" t="s">
        <v>240</v>
      </c>
      <c r="C11" s="117">
        <v>10</v>
      </c>
      <c r="D11" s="9">
        <v>1450448</v>
      </c>
      <c r="E11" s="9">
        <f t="shared" ref="E11:E18" si="0">IFERROR(D11/C11,0)</f>
        <v>145044.79999999999</v>
      </c>
      <c r="F11" s="9">
        <v>0</v>
      </c>
      <c r="G11" s="9">
        <v>22337</v>
      </c>
      <c r="H11" s="14" t="s">
        <v>3</v>
      </c>
      <c r="I11" s="1"/>
    </row>
    <row r="12" spans="1:9" ht="39" x14ac:dyDescent="0.25">
      <c r="A12" s="1"/>
      <c r="B12" s="116" t="s">
        <v>239</v>
      </c>
      <c r="C12" s="117">
        <v>10</v>
      </c>
      <c r="D12" s="9">
        <v>539615</v>
      </c>
      <c r="E12" s="9">
        <f t="shared" si="0"/>
        <v>53961.5</v>
      </c>
      <c r="F12" s="9">
        <v>0</v>
      </c>
      <c r="G12" s="9">
        <v>8310</v>
      </c>
      <c r="H12" s="14" t="s">
        <v>3</v>
      </c>
      <c r="I12" s="1"/>
    </row>
    <row r="13" spans="1:9" x14ac:dyDescent="0.25">
      <c r="A13" s="1"/>
      <c r="B13" s="116" t="s">
        <v>241</v>
      </c>
      <c r="C13" s="117">
        <v>25</v>
      </c>
      <c r="D13" s="9">
        <v>1611278</v>
      </c>
      <c r="E13" s="9">
        <f t="shared" si="0"/>
        <v>64451.12</v>
      </c>
      <c r="F13" s="9">
        <v>0</v>
      </c>
      <c r="G13" s="9">
        <v>24814</v>
      </c>
      <c r="H13" s="14" t="s">
        <v>3</v>
      </c>
      <c r="I13" s="1"/>
    </row>
    <row r="14" spans="1:9" ht="26.25" x14ac:dyDescent="0.25">
      <c r="A14" s="1"/>
      <c r="B14" s="116" t="s">
        <v>242</v>
      </c>
      <c r="C14" s="117">
        <v>25</v>
      </c>
      <c r="D14" s="9">
        <v>19016331</v>
      </c>
      <c r="E14" s="9">
        <f t="shared" si="0"/>
        <v>760653.24</v>
      </c>
      <c r="F14" s="9">
        <v>0</v>
      </c>
      <c r="G14" s="9">
        <v>292851</v>
      </c>
      <c r="H14" s="14" t="s">
        <v>3</v>
      </c>
      <c r="I14" s="1"/>
    </row>
    <row r="15" spans="1:9" ht="26.25" x14ac:dyDescent="0.25">
      <c r="A15" s="1"/>
      <c r="B15" s="116" t="s">
        <v>243</v>
      </c>
      <c r="C15" s="117">
        <v>25</v>
      </c>
      <c r="D15" s="9">
        <v>19016331</v>
      </c>
      <c r="E15" s="9">
        <f t="shared" si="0"/>
        <v>760653.24</v>
      </c>
      <c r="F15" s="9">
        <v>0</v>
      </c>
      <c r="G15" s="9">
        <v>292851</v>
      </c>
      <c r="H15" s="14" t="s">
        <v>3</v>
      </c>
      <c r="I15" s="1"/>
    </row>
    <row r="16" spans="1:9" ht="39" x14ac:dyDescent="0.25">
      <c r="A16" s="1"/>
      <c r="B16" s="116" t="s">
        <v>244</v>
      </c>
      <c r="C16" s="117">
        <v>25</v>
      </c>
      <c r="D16" s="9">
        <v>8751200</v>
      </c>
      <c r="E16" s="9">
        <f t="shared" si="0"/>
        <v>350048</v>
      </c>
      <c r="F16" s="9">
        <v>0</v>
      </c>
      <c r="G16" s="9">
        <v>134768</v>
      </c>
      <c r="H16" s="14" t="s">
        <v>3</v>
      </c>
      <c r="I16" s="1"/>
    </row>
    <row r="17" spans="1:9" x14ac:dyDescent="0.25">
      <c r="A17" s="1"/>
      <c r="B17" s="116" t="s">
        <v>245</v>
      </c>
      <c r="C17" s="117">
        <v>5</v>
      </c>
      <c r="D17" s="9">
        <v>161044</v>
      </c>
      <c r="E17" s="9">
        <f t="shared" si="0"/>
        <v>32208.799999999999</v>
      </c>
      <c r="F17" s="9">
        <v>0</v>
      </c>
      <c r="G17" s="9">
        <v>2480</v>
      </c>
      <c r="H17" s="14" t="s">
        <v>3</v>
      </c>
      <c r="I17" s="1"/>
    </row>
    <row r="18" spans="1:9" x14ac:dyDescent="0.25">
      <c r="A18" s="1"/>
      <c r="B18" s="116" t="s">
        <v>245</v>
      </c>
      <c r="C18" s="117">
        <v>5</v>
      </c>
      <c r="D18" s="9">
        <v>432324</v>
      </c>
      <c r="E18" s="9">
        <f t="shared" si="0"/>
        <v>86464.8</v>
      </c>
      <c r="F18" s="9">
        <v>0</v>
      </c>
      <c r="G18" s="9">
        <v>6658</v>
      </c>
      <c r="H18" s="14" t="s">
        <v>3</v>
      </c>
      <c r="I18" s="1"/>
    </row>
    <row r="19" spans="1:9" ht="26.25" x14ac:dyDescent="0.25">
      <c r="A19" s="1"/>
      <c r="B19" s="116" t="s">
        <v>246</v>
      </c>
      <c r="C19" s="117">
        <v>50</v>
      </c>
      <c r="D19" s="9">
        <v>2853000</v>
      </c>
      <c r="E19" s="9">
        <f t="shared" ref="E19:E26" si="1">IFERROR(D19/C19,0)</f>
        <v>57060</v>
      </c>
      <c r="F19" s="9">
        <v>0</v>
      </c>
      <c r="G19" s="9">
        <v>43936</v>
      </c>
      <c r="H19" s="14" t="s">
        <v>3</v>
      </c>
      <c r="I19" s="1"/>
    </row>
    <row r="20" spans="1:9" ht="26.25" x14ac:dyDescent="0.25">
      <c r="A20" s="1"/>
      <c r="B20" s="116" t="s">
        <v>247</v>
      </c>
      <c r="C20" s="117">
        <v>75</v>
      </c>
      <c r="D20" s="9">
        <v>1246578</v>
      </c>
      <c r="E20" s="9">
        <f t="shared" si="1"/>
        <v>16621.04</v>
      </c>
      <c r="F20" s="9">
        <v>0</v>
      </c>
      <c r="G20" s="9">
        <v>19198</v>
      </c>
      <c r="H20" s="14" t="s">
        <v>3</v>
      </c>
      <c r="I20" s="1"/>
    </row>
    <row r="21" spans="1:9" ht="26.25" x14ac:dyDescent="0.25">
      <c r="A21" s="1"/>
      <c r="B21" s="116" t="s">
        <v>247</v>
      </c>
      <c r="C21" s="117">
        <v>75</v>
      </c>
      <c r="D21" s="9">
        <f>29287445.15*1.0169</f>
        <v>29782402.973034997</v>
      </c>
      <c r="E21" s="9">
        <f t="shared" si="1"/>
        <v>397098.70630713331</v>
      </c>
      <c r="F21" s="9">
        <v>0</v>
      </c>
      <c r="G21" s="9">
        <v>0</v>
      </c>
      <c r="H21" s="14"/>
      <c r="I21" s="1"/>
    </row>
    <row r="22" spans="1:9" x14ac:dyDescent="0.25">
      <c r="A22" s="1"/>
      <c r="B22" s="116" t="s">
        <v>241</v>
      </c>
      <c r="C22" s="117">
        <v>25</v>
      </c>
      <c r="D22" s="9">
        <f>1119537.5*1.0169</f>
        <v>1138457.6837499999</v>
      </c>
      <c r="E22" s="9">
        <f t="shared" si="1"/>
        <v>45538.307349999995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116" t="s">
        <v>240</v>
      </c>
      <c r="C23" s="117">
        <v>10</v>
      </c>
      <c r="D23" s="9">
        <f>1103374.95*1.0169</f>
        <v>1122021.9866549999</v>
      </c>
      <c r="E23" s="9">
        <f t="shared" si="1"/>
        <v>112202.19866549999</v>
      </c>
      <c r="F23" s="9">
        <v>0</v>
      </c>
      <c r="G23" s="9">
        <v>0</v>
      </c>
      <c r="H23" s="14" t="s">
        <v>3</v>
      </c>
      <c r="I23" s="1"/>
    </row>
    <row r="24" spans="1:9" ht="39" x14ac:dyDescent="0.25">
      <c r="A24" s="1"/>
      <c r="B24" s="116" t="s">
        <v>239</v>
      </c>
      <c r="C24" s="117">
        <v>10</v>
      </c>
      <c r="D24" s="9">
        <f>2991850.6*1.0169</f>
        <v>3042412.8751399997</v>
      </c>
      <c r="E24" s="9">
        <f t="shared" si="1"/>
        <v>304241.28751399997</v>
      </c>
      <c r="F24" s="9">
        <v>0</v>
      </c>
      <c r="G24" s="9">
        <v>0</v>
      </c>
      <c r="H24" s="14" t="s">
        <v>3</v>
      </c>
      <c r="I24" s="1"/>
    </row>
    <row r="25" spans="1:9" ht="26.25" x14ac:dyDescent="0.25">
      <c r="A25" s="1"/>
      <c r="B25" s="116" t="s">
        <v>252</v>
      </c>
      <c r="C25" s="117">
        <v>75</v>
      </c>
      <c r="D25" s="9">
        <f>1067783.905*1.0169</f>
        <v>1085829.4529945001</v>
      </c>
      <c r="E25" s="9">
        <f t="shared" si="1"/>
        <v>14477.726039926667</v>
      </c>
      <c r="F25" s="9">
        <v>0</v>
      </c>
      <c r="G25" s="9">
        <v>0</v>
      </c>
      <c r="H25" s="14" t="s">
        <v>3</v>
      </c>
      <c r="I25" s="1"/>
    </row>
    <row r="26" spans="1:9" ht="26.25" x14ac:dyDescent="0.25">
      <c r="A26" s="1"/>
      <c r="B26" s="116" t="s">
        <v>252</v>
      </c>
      <c r="C26" s="117">
        <v>75</v>
      </c>
      <c r="D26" s="9">
        <f>1067783.905*1.0169</f>
        <v>1085829.4529945001</v>
      </c>
      <c r="E26" s="9">
        <f t="shared" si="1"/>
        <v>14477.726039926667</v>
      </c>
      <c r="F26" s="9">
        <v>0</v>
      </c>
      <c r="G26" s="9">
        <v>0</v>
      </c>
      <c r="H26" s="14" t="s">
        <v>3</v>
      </c>
      <c r="I26" s="1"/>
    </row>
    <row r="27" spans="1:9" x14ac:dyDescent="0.25">
      <c r="A27" s="1"/>
      <c r="B27" s="96" t="s">
        <v>231</v>
      </c>
      <c r="C27" s="97"/>
      <c r="D27" s="98"/>
      <c r="E27" s="12">
        <f>SUM(E10:E26)</f>
        <v>3226407.9919164861</v>
      </c>
      <c r="F27" s="12">
        <f>SUM(F10:F26)</f>
        <v>0</v>
      </c>
      <c r="G27" s="12">
        <f>SUM(G10:G26)</f>
        <v>849929</v>
      </c>
      <c r="H27" s="13" t="s">
        <v>3</v>
      </c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"/>
      <c r="C54" s="1"/>
      <c r="D54" s="1"/>
      <c r="E54" s="1"/>
      <c r="F54" s="1"/>
      <c r="G54" s="1"/>
      <c r="H54" s="1"/>
      <c r="I54" s="1"/>
    </row>
    <row r="55" spans="1:9" x14ac:dyDescent="0.25">
      <c r="A55" s="1"/>
      <c r="B55" s="1"/>
      <c r="C55" s="1"/>
      <c r="D55" s="1"/>
      <c r="E55" s="1"/>
      <c r="F55" s="1"/>
      <c r="G55" s="1"/>
      <c r="H55" s="1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2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s="1"/>
      <c r="B58" s="1"/>
      <c r="C58" s="1"/>
      <c r="D58" s="1"/>
      <c r="E58" s="1"/>
      <c r="F58" s="1"/>
      <c r="G58" s="1"/>
      <c r="H58" s="1"/>
      <c r="I58" s="1"/>
    </row>
    <row r="59" spans="1:9" x14ac:dyDescent="0.25">
      <c r="A59" s="1"/>
      <c r="B59" s="1"/>
      <c r="C59" s="1"/>
      <c r="D59" s="1"/>
      <c r="E59" s="1"/>
      <c r="F59" s="1"/>
      <c r="G59" s="1"/>
      <c r="H59" s="1"/>
      <c r="I59" s="1"/>
    </row>
    <row r="60" spans="1:9" x14ac:dyDescent="0.25">
      <c r="A60" s="1"/>
      <c r="B60" s="1"/>
      <c r="C60" s="1"/>
      <c r="D60" s="1"/>
      <c r="E60" s="1"/>
      <c r="F60" s="1"/>
      <c r="G60" s="1"/>
      <c r="H60" s="1"/>
      <c r="I60" s="1"/>
    </row>
    <row r="61" spans="1:9" x14ac:dyDescent="0.25">
      <c r="A61" s="1"/>
      <c r="B61" s="1"/>
      <c r="C61" s="1"/>
      <c r="D61" s="1"/>
      <c r="E61" s="1"/>
      <c r="F61" s="1"/>
      <c r="G61" s="1"/>
      <c r="H61" s="1"/>
      <c r="I61" s="1"/>
    </row>
    <row r="62" spans="1:9" x14ac:dyDescent="0.25">
      <c r="A62" s="1"/>
      <c r="B62" s="1"/>
      <c r="C62" s="1"/>
      <c r="D62" s="1"/>
      <c r="E62" s="1"/>
      <c r="F62" s="1"/>
      <c r="G62" s="1"/>
      <c r="H62" s="1"/>
      <c r="I62" s="1"/>
    </row>
  </sheetData>
  <sheetProtection algorithmName="SHA-512" hashValue="kA5obeKieno/qSNpmP21t98Pezws63n3G8JuTvMjdMgM2YALXCIPzbVkO3vDvtNxIL1WzHx6TwHrDEcWJTy6Hw==" saltValue="eW+yleYHDM4o6QhdFIquaw==" spinCount="100000" sheet="1" objects="1" scenarios="1"/>
  <mergeCells count="3">
    <mergeCell ref="B3:H4"/>
    <mergeCell ref="B27:D27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206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137</v>
      </c>
      <c r="C8" s="48"/>
      <c r="D8" s="48"/>
      <c r="E8" s="48"/>
      <c r="F8" s="22"/>
      <c r="G8" s="1"/>
    </row>
    <row r="9" spans="1:7" ht="17.25" customHeight="1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248</v>
      </c>
      <c r="C10" s="24">
        <f>'Fane 9. Anlægsprojekter'!F27</f>
        <v>0</v>
      </c>
      <c r="D10" s="14" t="s">
        <v>3</v>
      </c>
      <c r="E10" s="9">
        <f>SUM('Fane 9. Anlægsprojekter'!E27,'Fane 9. Anlægsprojekter'!G27)</f>
        <v>4076336.9919164861</v>
      </c>
      <c r="F10" s="14" t="s">
        <v>3</v>
      </c>
      <c r="G10" s="1"/>
    </row>
    <row r="11" spans="1:7" x14ac:dyDescent="0.25">
      <c r="A11" s="1"/>
      <c r="B11" s="47" t="s">
        <v>63</v>
      </c>
      <c r="C11" s="12">
        <f>SUM(C10:C10)</f>
        <v>0</v>
      </c>
      <c r="D11" s="13" t="s">
        <v>3</v>
      </c>
      <c r="E11" s="12">
        <f>SUM(E10:E10)</f>
        <v>4076336.9919164861</v>
      </c>
      <c r="F11" s="13" t="s">
        <v>3</v>
      </c>
      <c r="G11" s="1"/>
    </row>
    <row r="12" spans="1:7" x14ac:dyDescent="0.25">
      <c r="A12" s="1"/>
      <c r="B12" s="47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4156640.8306572409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k3GBabfEWMk6/2fzezyKBkl4mC5HfIQg8Ze0foJo82TXMXN0XOmoCP7+PWgz42FlX+7M2udX6Nwi5Sw4GbkKWQ==" saltValue="tsUA7zBQD7VZcFFDfgz7w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207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168</v>
      </c>
      <c r="C8" s="97"/>
      <c r="D8" s="97"/>
      <c r="E8" s="97"/>
      <c r="F8" s="98"/>
      <c r="G8" s="1"/>
    </row>
    <row r="9" spans="1:7" x14ac:dyDescent="0.25">
      <c r="A9" s="1"/>
      <c r="B9" s="43" t="s">
        <v>24</v>
      </c>
      <c r="C9" s="43" t="s">
        <v>16</v>
      </c>
      <c r="D9" s="44"/>
      <c r="E9" s="43" t="s">
        <v>47</v>
      </c>
      <c r="F9" s="42"/>
      <c r="G9" s="1"/>
    </row>
    <row r="10" spans="1:7" x14ac:dyDescent="0.25">
      <c r="A10" s="1"/>
      <c r="B10" s="27" t="s">
        <v>240</v>
      </c>
      <c r="C10" s="24">
        <v>213518</v>
      </c>
      <c r="D10" s="14" t="s">
        <v>3</v>
      </c>
      <c r="E10" s="9">
        <v>0</v>
      </c>
      <c r="F10" s="14" t="s">
        <v>3</v>
      </c>
      <c r="G10" s="1"/>
    </row>
    <row r="11" spans="1:7" ht="26.25" x14ac:dyDescent="0.25">
      <c r="A11" s="1"/>
      <c r="B11" s="38" t="s">
        <v>242</v>
      </c>
      <c r="C11" s="24">
        <v>616367</v>
      </c>
      <c r="D11" s="14" t="s">
        <v>3</v>
      </c>
      <c r="E11" s="9">
        <v>0</v>
      </c>
      <c r="F11" s="14" t="s">
        <v>3</v>
      </c>
      <c r="G11" s="1"/>
    </row>
    <row r="12" spans="1:7" ht="26.25" x14ac:dyDescent="0.25">
      <c r="A12" s="1"/>
      <c r="B12" s="38" t="s">
        <v>243</v>
      </c>
      <c r="C12" s="24">
        <v>616368</v>
      </c>
      <c r="D12" s="14" t="s">
        <v>3</v>
      </c>
      <c r="E12" s="9">
        <v>0</v>
      </c>
      <c r="F12" s="14" t="s">
        <v>3</v>
      </c>
      <c r="G12" s="1"/>
    </row>
    <row r="13" spans="1:7" x14ac:dyDescent="0.25">
      <c r="A13" s="1"/>
      <c r="B13" s="27" t="s">
        <v>246</v>
      </c>
      <c r="C13" s="24">
        <v>419924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47" t="s">
        <v>172</v>
      </c>
      <c r="C14" s="12">
        <f>SUM(C10:C13)</f>
        <v>1866177</v>
      </c>
      <c r="D14" s="13" t="s">
        <v>3</v>
      </c>
      <c r="E14" s="12">
        <f>SUM(E13:E13)</f>
        <v>0</v>
      </c>
      <c r="F14" s="13" t="s">
        <v>3</v>
      </c>
      <c r="G14" s="1"/>
    </row>
    <row r="15" spans="1:7" x14ac:dyDescent="0.25">
      <c r="A15" s="1"/>
      <c r="B15" s="29" t="s">
        <v>10</v>
      </c>
      <c r="C15" s="30">
        <f>-C14*'Fane 5. Individuelt eff. krav'!G10</f>
        <v>-37323.54</v>
      </c>
      <c r="D15" s="31" t="s">
        <v>3</v>
      </c>
      <c r="E15" s="30">
        <f>-E14*'Fane 5. Individuelt eff. krav'!G10</f>
        <v>0</v>
      </c>
      <c r="F15" s="31" t="s">
        <v>3</v>
      </c>
      <c r="G15" s="1"/>
    </row>
    <row r="16" spans="1:7" x14ac:dyDescent="0.25">
      <c r="A16" s="1"/>
      <c r="B16" s="29" t="s">
        <v>176</v>
      </c>
      <c r="C16" s="30">
        <f>-C14*'Fane 14. Nøgletal'!C25</f>
        <v>-37323.54</v>
      </c>
      <c r="D16" s="31" t="s">
        <v>3</v>
      </c>
      <c r="E16" s="30">
        <f>-E14*'Fane 14. Nøgletal'!C20</f>
        <v>0</v>
      </c>
      <c r="F16" s="31" t="s">
        <v>3</v>
      </c>
      <c r="G16" s="1"/>
    </row>
    <row r="17" spans="1:7" x14ac:dyDescent="0.25">
      <c r="A17" s="1"/>
      <c r="B17" s="47" t="s">
        <v>173</v>
      </c>
      <c r="C17" s="12">
        <f>SUM(C14:C16)*(1+'Fane 14. Nøgletal'!C12)^2</f>
        <v>1862811.4736946528</v>
      </c>
      <c r="D17" s="13" t="s">
        <v>3</v>
      </c>
      <c r="E17" s="12">
        <f>SUM(E14:E16)*(1+'Fane 14. Nøgletal'!C12)^2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6" t="s">
        <v>169</v>
      </c>
      <c r="C19" s="97"/>
      <c r="D19" s="97"/>
      <c r="E19" s="97"/>
      <c r="F19" s="98"/>
      <c r="G19" s="1"/>
    </row>
    <row r="20" spans="1:7" x14ac:dyDescent="0.25">
      <c r="A20" s="1"/>
      <c r="B20" s="43" t="s">
        <v>24</v>
      </c>
      <c r="C20" s="43" t="s">
        <v>16</v>
      </c>
      <c r="D20" s="44"/>
      <c r="E20" s="43" t="s">
        <v>47</v>
      </c>
      <c r="F20" s="42"/>
      <c r="G20" s="1"/>
    </row>
    <row r="21" spans="1:7" x14ac:dyDescent="0.25">
      <c r="A21" s="1"/>
      <c r="B21" s="27" t="s">
        <v>238</v>
      </c>
      <c r="C21" s="24">
        <v>0</v>
      </c>
      <c r="D21" s="14" t="s">
        <v>3</v>
      </c>
      <c r="E21" s="9">
        <v>0</v>
      </c>
      <c r="F21" s="14" t="s">
        <v>3</v>
      </c>
      <c r="G21" s="1"/>
    </row>
    <row r="22" spans="1:7" x14ac:dyDescent="0.25">
      <c r="A22" s="1"/>
      <c r="B22" s="47" t="s">
        <v>172</v>
      </c>
      <c r="C22" s="12">
        <f>SUM(C21:C21)</f>
        <v>0</v>
      </c>
      <c r="D22" s="13" t="s">
        <v>3</v>
      </c>
      <c r="E22" s="12">
        <f>SUM(E21:E21)</f>
        <v>0</v>
      </c>
      <c r="F22" s="13" t="s">
        <v>3</v>
      </c>
      <c r="G22" s="1"/>
    </row>
    <row r="23" spans="1:7" x14ac:dyDescent="0.25">
      <c r="A23" s="1"/>
      <c r="B23" s="29" t="s">
        <v>10</v>
      </c>
      <c r="C23" s="30">
        <f>-C22*'Fane 5. Individuelt eff. krav'!G10</f>
        <v>0</v>
      </c>
      <c r="D23" s="31" t="s">
        <v>3</v>
      </c>
      <c r="E23" s="30">
        <f>-E22*'Fane 5. Individuelt eff. krav'!G10</f>
        <v>0</v>
      </c>
      <c r="F23" s="31" t="s">
        <v>3</v>
      </c>
      <c r="G23" s="1"/>
    </row>
    <row r="24" spans="1:7" x14ac:dyDescent="0.25">
      <c r="A24" s="1"/>
      <c r="B24" s="29" t="s">
        <v>176</v>
      </c>
      <c r="C24" s="30">
        <f>-C22*'Fane 14. Nøgletal'!C25</f>
        <v>0</v>
      </c>
      <c r="D24" s="31" t="s">
        <v>3</v>
      </c>
      <c r="E24" s="30">
        <f>-E22*'Fane 14. Nøgletal'!C20</f>
        <v>0</v>
      </c>
      <c r="F24" s="31" t="s">
        <v>3</v>
      </c>
      <c r="G24" s="1"/>
    </row>
    <row r="25" spans="1:7" x14ac:dyDescent="0.25">
      <c r="A25" s="1"/>
      <c r="B25" s="47" t="s">
        <v>174</v>
      </c>
      <c r="C25" s="12">
        <f>SUM(C22:C24)*(1+'Fane 14. Nøgletal'!C12)^3</f>
        <v>0</v>
      </c>
      <c r="D25" s="13" t="s">
        <v>3</v>
      </c>
      <c r="E25" s="12">
        <f>SUM(E22:E24)*(1+'Fane 14. Nøgletal'!C12)^3</f>
        <v>0</v>
      </c>
      <c r="F25" s="13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6" t="s">
        <v>170</v>
      </c>
      <c r="C27" s="97"/>
      <c r="D27" s="97"/>
      <c r="E27" s="97"/>
      <c r="F27" s="98"/>
      <c r="G27" s="1"/>
    </row>
    <row r="28" spans="1:7" x14ac:dyDescent="0.25">
      <c r="A28" s="1"/>
      <c r="B28" s="43" t="s">
        <v>24</v>
      </c>
      <c r="C28" s="43" t="s">
        <v>16</v>
      </c>
      <c r="D28" s="44"/>
      <c r="E28" s="43" t="s">
        <v>47</v>
      </c>
      <c r="F28" s="42"/>
      <c r="G28" s="1"/>
    </row>
    <row r="29" spans="1:7" x14ac:dyDescent="0.25">
      <c r="A29" s="1"/>
      <c r="B29" s="27" t="s">
        <v>238</v>
      </c>
      <c r="C29" s="24">
        <v>0</v>
      </c>
      <c r="D29" s="14" t="s">
        <v>3</v>
      </c>
      <c r="E29" s="9">
        <v>0</v>
      </c>
      <c r="F29" s="14" t="s">
        <v>3</v>
      </c>
      <c r="G29" s="1"/>
    </row>
    <row r="30" spans="1:7" x14ac:dyDescent="0.25">
      <c r="A30" s="1"/>
      <c r="B30" s="47" t="s">
        <v>172</v>
      </c>
      <c r="C30" s="12">
        <f>SUM(C29:C29)</f>
        <v>0</v>
      </c>
      <c r="D30" s="13" t="s">
        <v>3</v>
      </c>
      <c r="E30" s="12">
        <f>SUM(E29:E29)</f>
        <v>0</v>
      </c>
      <c r="F30" s="13" t="s">
        <v>3</v>
      </c>
      <c r="G30" s="1"/>
    </row>
    <row r="31" spans="1:7" x14ac:dyDescent="0.25">
      <c r="A31" s="1"/>
      <c r="B31" s="29" t="s">
        <v>10</v>
      </c>
      <c r="C31" s="30">
        <f>-C30*'Fane 5. Individuelt eff. krav'!G10</f>
        <v>0</v>
      </c>
      <c r="D31" s="31" t="s">
        <v>3</v>
      </c>
      <c r="E31" s="30">
        <f>-E30*'Fane 5. Individuelt eff. krav'!G10</f>
        <v>0</v>
      </c>
      <c r="F31" s="31" t="s">
        <v>3</v>
      </c>
      <c r="G31" s="1"/>
    </row>
    <row r="32" spans="1:7" x14ac:dyDescent="0.25">
      <c r="A32" s="1"/>
      <c r="B32" s="29" t="s">
        <v>176</v>
      </c>
      <c r="C32" s="30">
        <f>-C30*'Fane 14. Nøgletal'!C25</f>
        <v>0</v>
      </c>
      <c r="D32" s="31" t="s">
        <v>3</v>
      </c>
      <c r="E32" s="30">
        <f>-E30*'Fane 14. Nøgletal'!C20</f>
        <v>0</v>
      </c>
      <c r="F32" s="31" t="s">
        <v>3</v>
      </c>
      <c r="G32" s="1"/>
    </row>
    <row r="33" spans="1:7" x14ac:dyDescent="0.25">
      <c r="A33" s="1"/>
      <c r="B33" s="47" t="s">
        <v>174</v>
      </c>
      <c r="C33" s="12">
        <f>SUM(C30:C32)*(1+'Fane 14. Nøgletal'!C12)^4</f>
        <v>0</v>
      </c>
      <c r="D33" s="13" t="s">
        <v>3</v>
      </c>
      <c r="E33" s="12">
        <f>SUM(E30:E32)*(1+'Fane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6" t="s">
        <v>171</v>
      </c>
      <c r="C35" s="97"/>
      <c r="D35" s="97"/>
      <c r="E35" s="97"/>
      <c r="F35" s="98"/>
      <c r="G35" s="1"/>
    </row>
    <row r="36" spans="1:7" x14ac:dyDescent="0.25">
      <c r="A36" s="1"/>
      <c r="B36" s="43" t="s">
        <v>24</v>
      </c>
      <c r="C36" s="43" t="s">
        <v>16</v>
      </c>
      <c r="D36" s="44"/>
      <c r="E36" s="43" t="s">
        <v>47</v>
      </c>
      <c r="F36" s="42"/>
      <c r="G36" s="1"/>
    </row>
    <row r="37" spans="1:7" x14ac:dyDescent="0.25">
      <c r="A37" s="1"/>
      <c r="B37" s="27" t="s">
        <v>238</v>
      </c>
      <c r="C37" s="24">
        <v>0</v>
      </c>
      <c r="D37" s="14" t="s">
        <v>3</v>
      </c>
      <c r="E37" s="9">
        <v>0</v>
      </c>
      <c r="F37" s="14" t="s">
        <v>3</v>
      </c>
      <c r="G37" s="1"/>
    </row>
    <row r="38" spans="1:7" x14ac:dyDescent="0.25">
      <c r="A38" s="1"/>
      <c r="B38" s="47" t="s">
        <v>172</v>
      </c>
      <c r="C38" s="12">
        <f>SUM(C37:C37)</f>
        <v>0</v>
      </c>
      <c r="D38" s="13" t="s">
        <v>3</v>
      </c>
      <c r="E38" s="12">
        <f>SUM(E37:E37)</f>
        <v>0</v>
      </c>
      <c r="F38" s="13" t="s">
        <v>3</v>
      </c>
      <c r="G38" s="1"/>
    </row>
    <row r="39" spans="1:7" x14ac:dyDescent="0.25">
      <c r="A39" s="1"/>
      <c r="B39" s="29" t="s">
        <v>10</v>
      </c>
      <c r="C39" s="30">
        <f>-C38*'Fane 5. Individuelt eff. krav'!G10</f>
        <v>0</v>
      </c>
      <c r="D39" s="31" t="s">
        <v>3</v>
      </c>
      <c r="E39" s="30">
        <f>-E38*'Fane 5. Individuelt eff. krav'!G10</f>
        <v>0</v>
      </c>
      <c r="F39" s="31" t="s">
        <v>3</v>
      </c>
      <c r="G39" s="1"/>
    </row>
    <row r="40" spans="1:7" x14ac:dyDescent="0.25">
      <c r="A40" s="1"/>
      <c r="B40" s="29" t="s">
        <v>176</v>
      </c>
      <c r="C40" s="30">
        <f>-C38*'Fane 14. Nøgletal'!C25</f>
        <v>0</v>
      </c>
      <c r="D40" s="31" t="s">
        <v>3</v>
      </c>
      <c r="E40" s="30">
        <f>-E38*'Fane 14. Nøgletal'!C20</f>
        <v>0</v>
      </c>
      <c r="F40" s="31" t="s">
        <v>3</v>
      </c>
      <c r="G40" s="1"/>
    </row>
    <row r="41" spans="1:7" x14ac:dyDescent="0.25">
      <c r="A41" s="1"/>
      <c r="B41" s="47" t="s">
        <v>174</v>
      </c>
      <c r="C41" s="12">
        <f>SUM(C38:C40)*(1+'Fane 14. Nøgletal'!C12)^5</f>
        <v>0</v>
      </c>
      <c r="D41" s="13" t="s">
        <v>3</v>
      </c>
      <c r="E41" s="12">
        <f>SUM(E38:E40)*(1+'Fane 14. Nøgletal'!C12)^5</f>
        <v>0</v>
      </c>
      <c r="F41" s="13" t="s">
        <v>3</v>
      </c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zuI/3zb5yh/t1sl8I0AZXDoHVspIxyH/0VymTjf/0zPWaOEEhzuP3AK7d4jfqyhj7PevRl/FPqdPcv4FSGuyOQ==" saltValue="Zs7Q9kPuVKv+xHot+DeUWw==" spinCount="100000" sheet="1" objects="1" scenarios="1"/>
  <mergeCells count="5">
    <mergeCell ref="B3:F4"/>
    <mergeCell ref="B8:F8"/>
    <mergeCell ref="B19:F19"/>
    <mergeCell ref="B27:F27"/>
    <mergeCell ref="B35:F3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208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31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32</v>
      </c>
      <c r="C9" s="93" t="s">
        <v>16</v>
      </c>
      <c r="D9" s="95"/>
      <c r="E9" s="93" t="s">
        <v>47</v>
      </c>
      <c r="F9" s="95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T5cPu7uT6WH7j8ijiiB3GPv2esYo9HB2epYtWEs0/Qs4h1EcUwIpe+jKmo8rH9DEcFQcX6edrurNeIo8wseig==" saltValue="VgUQK6/RpokzpI8LDGfeC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209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253</v>
      </c>
      <c r="C10" s="9">
        <v>0</v>
      </c>
      <c r="D10" s="14" t="s">
        <v>3</v>
      </c>
      <c r="E10" s="9">
        <v>482502.71370487992</v>
      </c>
      <c r="F10" s="14" t="s">
        <v>3</v>
      </c>
      <c r="G10" s="1"/>
    </row>
    <row r="11" spans="1:7" x14ac:dyDescent="0.25">
      <c r="A11" s="1"/>
      <c r="B11" s="47" t="s">
        <v>64</v>
      </c>
      <c r="C11" s="12">
        <f>SUM(C10:C10)</f>
        <v>0</v>
      </c>
      <c r="D11" s="13" t="s">
        <v>3</v>
      </c>
      <c r="E11" s="12">
        <f>SUM(E10:E10)</f>
        <v>482502.71370487992</v>
      </c>
      <c r="F11" s="13" t="s">
        <v>3</v>
      </c>
      <c r="G11" s="1"/>
    </row>
    <row r="12" spans="1:7" x14ac:dyDescent="0.25">
      <c r="A12" s="1"/>
      <c r="B12" s="47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492008.01716486609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157</v>
      </c>
      <c r="C15" s="97"/>
      <c r="D15" s="97"/>
      <c r="E15" s="97"/>
      <c r="F15" s="98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7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7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155</v>
      </c>
      <c r="C22" s="97"/>
      <c r="D22" s="97"/>
      <c r="E22" s="97"/>
      <c r="F22" s="98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7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7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158</v>
      </c>
      <c r="C29" s="97"/>
      <c r="D29" s="97"/>
      <c r="E29" s="97"/>
      <c r="F29" s="98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7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7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s4J6+TtGzwGETLjm1vbJZU60TmU9m84JwPraN2W123fd2aiopIu9bQ8da6TVUeIYMLpvaIkANm+ZfvmluTJ5HQ==" saltValue="EtvOZoXE7FRQo8MLpSwR5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18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</v>
      </c>
      <c r="C9" s="100"/>
      <c r="D9" s="100"/>
      <c r="E9" s="100"/>
      <c r="F9" s="101"/>
      <c r="G9" s="9">
        <v>-1962557</v>
      </c>
      <c r="H9" s="14" t="s">
        <v>3</v>
      </c>
      <c r="I9" s="1"/>
    </row>
    <row r="10" spans="1:9" x14ac:dyDescent="0.25">
      <c r="A10" s="1"/>
      <c r="B10" s="99" t="s">
        <v>135</v>
      </c>
      <c r="C10" s="100"/>
      <c r="D10" s="100"/>
      <c r="E10" s="100"/>
      <c r="F10" s="101"/>
      <c r="G10" s="9">
        <v>0</v>
      </c>
      <c r="H10" s="14" t="s">
        <v>3</v>
      </c>
      <c r="I10" s="1"/>
    </row>
    <row r="11" spans="1:9" x14ac:dyDescent="0.25">
      <c r="A11" s="1"/>
      <c r="B11" s="99" t="s">
        <v>80</v>
      </c>
      <c r="C11" s="100"/>
      <c r="D11" s="100"/>
      <c r="E11" s="100"/>
      <c r="F11" s="101"/>
      <c r="G11" s="9">
        <v>1962556.7666666664</v>
      </c>
      <c r="H11" s="14" t="s">
        <v>3</v>
      </c>
      <c r="I11" s="1"/>
    </row>
    <row r="12" spans="1:9" x14ac:dyDescent="0.25">
      <c r="A12" s="1"/>
      <c r="B12" s="113" t="s">
        <v>15</v>
      </c>
      <c r="C12" s="114"/>
      <c r="D12" s="114"/>
      <c r="E12" s="114"/>
      <c r="F12" s="115"/>
      <c r="G12" s="19">
        <f>(G9+G10)+G11</f>
        <v>-0.23333333362825215</v>
      </c>
      <c r="H12" s="18" t="s">
        <v>3</v>
      </c>
      <c r="I12" s="1"/>
    </row>
    <row r="13" spans="1:9" x14ac:dyDescent="0.25">
      <c r="A13" s="1"/>
      <c r="B13" s="99" t="s">
        <v>13</v>
      </c>
      <c r="C13" s="100"/>
      <c r="D13" s="100"/>
      <c r="E13" s="100"/>
      <c r="F13" s="101"/>
      <c r="G13" s="9">
        <v>0</v>
      </c>
      <c r="H13" s="14" t="s">
        <v>27</v>
      </c>
      <c r="I13" s="1"/>
    </row>
    <row r="14" spans="1:9" x14ac:dyDescent="0.25">
      <c r="A14" s="1"/>
      <c r="B14" s="96" t="s">
        <v>136</v>
      </c>
      <c r="C14" s="97"/>
      <c r="D14" s="97"/>
      <c r="E14" s="97"/>
      <c r="F14" s="98"/>
      <c r="G14" s="12">
        <f>IF(G13 = 0,0,-G12/G13)</f>
        <v>0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NuQR1FmOC1w+qKQdWeTxgiN6IyFBwKnSTiBOxtG/ZC6rQ0z3FDp4bZzyLh2nbxiCSU5S+5Oll02ekDD9g9lLpw==" saltValue="K13BBrnUu9r68of7UpIr5A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54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7" t="s">
        <v>21</v>
      </c>
      <c r="C8" s="22"/>
      <c r="D8" s="1"/>
    </row>
    <row r="9" spans="1:4" x14ac:dyDescent="0.25">
      <c r="A9" s="1"/>
      <c r="B9" s="49" t="s">
        <v>211</v>
      </c>
      <c r="C9" s="28">
        <v>1.2699999999999999E-2</v>
      </c>
      <c r="D9" s="1"/>
    </row>
    <row r="10" spans="1:4" x14ac:dyDescent="0.25">
      <c r="A10" s="1"/>
      <c r="B10" s="49" t="s">
        <v>30</v>
      </c>
      <c r="C10" s="28">
        <v>1.7500000000000002E-2</v>
      </c>
      <c r="D10" s="1"/>
    </row>
    <row r="11" spans="1:4" x14ac:dyDescent="0.25">
      <c r="A11" s="1"/>
      <c r="B11" s="49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6"/>
      <c r="C13" s="98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7" t="s">
        <v>181</v>
      </c>
      <c r="C16" s="22"/>
      <c r="D16" s="1"/>
    </row>
    <row r="17" spans="1:4" x14ac:dyDescent="0.25">
      <c r="A17" s="1"/>
      <c r="B17" s="49" t="s">
        <v>213</v>
      </c>
      <c r="C17" s="25">
        <v>9.1000000000000004E-3</v>
      </c>
      <c r="D17" s="1"/>
    </row>
    <row r="18" spans="1:4" x14ac:dyDescent="0.25">
      <c r="A18" s="1"/>
      <c r="B18" s="49" t="s">
        <v>214</v>
      </c>
      <c r="C18" s="25">
        <v>1.77E-2</v>
      </c>
      <c r="D18" s="1"/>
    </row>
    <row r="19" spans="1:4" x14ac:dyDescent="0.25">
      <c r="A19" s="1"/>
      <c r="B19" s="49" t="s">
        <v>215</v>
      </c>
      <c r="C19" s="25">
        <v>8.6999999999999994E-3</v>
      </c>
      <c r="D19" s="1"/>
    </row>
    <row r="20" spans="1:4" x14ac:dyDescent="0.25">
      <c r="A20" s="1"/>
      <c r="B20" s="49" t="s">
        <v>216</v>
      </c>
      <c r="C20" s="37">
        <v>2.8400000000000002E-2</v>
      </c>
      <c r="D20" s="1"/>
    </row>
    <row r="21" spans="1:4" x14ac:dyDescent="0.25">
      <c r="A21" s="1"/>
      <c r="B21" s="47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47" t="s">
        <v>182</v>
      </c>
      <c r="C24" s="22"/>
      <c r="D24" s="1"/>
    </row>
    <row r="25" spans="1:4" x14ac:dyDescent="0.25">
      <c r="A25" s="1"/>
      <c r="B25" s="49" t="s">
        <v>217</v>
      </c>
      <c r="C25" s="28">
        <v>0.02</v>
      </c>
      <c r="D25" s="1"/>
    </row>
    <row r="26" spans="1:4" x14ac:dyDescent="0.25">
      <c r="A26" s="1"/>
      <c r="B26" s="47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11hYWMRZpxMQyKQTAzWD0OKZ2W0wi6wDB2XU0mbqGriMlV/wTfGD+GQo8tKzTS2E1xf7t/pnFmvotR/DCMCL5A==" saltValue="6g3H0LcktnJZTu4MkvoLV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65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20</v>
      </c>
      <c r="C8" s="48"/>
      <c r="D8" s="22"/>
      <c r="E8" s="1"/>
    </row>
    <row r="9" spans="1:5" x14ac:dyDescent="0.25">
      <c r="A9" s="1"/>
      <c r="B9" s="46" t="s">
        <v>34</v>
      </c>
      <c r="C9" s="7">
        <f>'Fane 3. Omkostninger i ØR2019'!E22</f>
        <v>8319296.1937627811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tillæg'!E12</f>
        <v>4156640.8306572409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-492008.01716486609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212789.37210039076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-243934.36758711096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-106261.82111813493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-135029.40859528581</v>
      </c>
      <c r="D19" s="8" t="s">
        <v>3</v>
      </c>
      <c r="E19" s="1"/>
    </row>
    <row r="20" spans="1:5" ht="17.100000000000001" customHeight="1" x14ac:dyDescent="0.25">
      <c r="A20" s="1"/>
      <c r="B20" s="51" t="s">
        <v>28</v>
      </c>
      <c r="C20" s="10">
        <f>SUM(C9:C19)</f>
        <v>11711492.782055017</v>
      </c>
      <c r="D20" s="11" t="s">
        <v>3</v>
      </c>
      <c r="E20" s="1"/>
    </row>
    <row r="21" spans="1:5" ht="15" customHeight="1" x14ac:dyDescent="0.25">
      <c r="A21" s="1"/>
      <c r="B21" s="47" t="s">
        <v>17</v>
      </c>
      <c r="C21" s="48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24196387.874923006</v>
      </c>
      <c r="D22" s="11" t="s">
        <v>3</v>
      </c>
      <c r="E22" s="1"/>
    </row>
    <row r="23" spans="1:5" ht="15" customHeight="1" x14ac:dyDescent="0.25">
      <c r="A23" s="1"/>
      <c r="B23" s="47" t="s">
        <v>142</v>
      </c>
      <c r="C23" s="48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Engangstillæg'!C17</f>
        <v>1862811.4736946528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Engangstillæg'!E17</f>
        <v>0</v>
      </c>
      <c r="D25" s="8" t="s">
        <v>3</v>
      </c>
      <c r="E25" s="1"/>
    </row>
    <row r="26" spans="1:5" x14ac:dyDescent="0.25">
      <c r="A26" s="1"/>
      <c r="B26" s="51" t="s">
        <v>143</v>
      </c>
      <c r="C26" s="10">
        <f>SUM(C24:C25)</f>
        <v>1862811.4736946528</v>
      </c>
      <c r="D26" s="11" t="s">
        <v>3</v>
      </c>
      <c r="E26" s="1"/>
    </row>
    <row r="27" spans="1:5" x14ac:dyDescent="0.25">
      <c r="A27" s="1"/>
      <c r="B27" s="47" t="s">
        <v>11</v>
      </c>
      <c r="C27" s="48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25">
      <c r="A29" s="1"/>
      <c r="B29" s="47" t="s">
        <v>53</v>
      </c>
      <c r="C29" s="48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1635979.5154260253</v>
      </c>
      <c r="D30" s="11" t="s">
        <v>3</v>
      </c>
      <c r="E30" s="1"/>
    </row>
    <row r="31" spans="1:5" x14ac:dyDescent="0.25">
      <c r="A31" s="1"/>
      <c r="B31" s="47" t="s">
        <v>225</v>
      </c>
      <c r="C31" s="48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47" t="s">
        <v>35</v>
      </c>
      <c r="C33" s="33">
        <f>SUM(C20,C22,C26,C28,C30,C32)</f>
        <v>39406671.646098703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hLO2FNkuY+op0Mnve96lvhO3RfRXDw5BnBY4AhQclv0KfsD/0zqfJMYlZ2Wvdc3MriAXIsKiCm13jlx5HaaQwg==" saltValue="X5uG8KpF1TTzL46d7s5R+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85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7" t="s">
        <v>20</v>
      </c>
      <c r="C8" s="48"/>
      <c r="D8" s="22"/>
      <c r="E8" s="1"/>
    </row>
    <row r="9" spans="1:5" ht="15" customHeight="1" x14ac:dyDescent="0.25">
      <c r="A9" s="1"/>
      <c r="B9" s="46" t="s">
        <v>36</v>
      </c>
      <c r="C9" s="7">
        <f>'Fane 2.1. Økonomisk ramme 2020'!C20</f>
        <v>11711492.782055017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26</v>
      </c>
      <c r="C12" s="9">
        <f>SUM(C9:C11)*'Fane 14. Nøgletal'!C12</f>
        <v>230716.40780648382</v>
      </c>
      <c r="D12" s="8" t="s">
        <v>3</v>
      </c>
      <c r="E12" s="1"/>
    </row>
    <row r="13" spans="1:5" ht="15" customHeight="1" x14ac:dyDescent="0.25">
      <c r="A13" s="1"/>
      <c r="B13" s="39" t="s">
        <v>10</v>
      </c>
      <c r="C13" s="9">
        <f>-SUM(C9:C12)*'Fane 5. Individuelt eff. krav'!G10</f>
        <v>-238844.18379723001</v>
      </c>
      <c r="D13" s="8" t="s">
        <v>3</v>
      </c>
      <c r="E13" s="1"/>
    </row>
    <row r="14" spans="1:5" ht="15" customHeight="1" x14ac:dyDescent="0.25">
      <c r="A14" s="1"/>
      <c r="B14" s="39" t="s">
        <v>38</v>
      </c>
      <c r="C14" s="9">
        <f>-'Fane 4.1. Gen. krav - drift'!G32</f>
        <v>-106188.07541427895</v>
      </c>
      <c r="D14" s="8" t="s">
        <v>3</v>
      </c>
      <c r="E14" s="1"/>
    </row>
    <row r="15" spans="1:5" ht="15" customHeight="1" x14ac:dyDescent="0.25">
      <c r="A15" s="1"/>
      <c r="B15" s="39" t="s">
        <v>39</v>
      </c>
      <c r="C15" s="9">
        <f>-'Fane 4.2. Gen. krav - anlæg'!G31</f>
        <v>-200516.70097537219</v>
      </c>
      <c r="D15" s="8" t="s">
        <v>3</v>
      </c>
      <c r="E15" s="1"/>
    </row>
    <row r="16" spans="1:5" ht="15" customHeight="1" x14ac:dyDescent="0.25">
      <c r="A16" s="1"/>
      <c r="B16" s="40" t="s">
        <v>28</v>
      </c>
      <c r="C16" s="10">
        <f>SUM(C9:C15)</f>
        <v>11396660.229674619</v>
      </c>
      <c r="D16" s="11" t="s">
        <v>3</v>
      </c>
      <c r="E16" s="1"/>
    </row>
    <row r="17" spans="1:5" x14ac:dyDescent="0.25">
      <c r="A17" s="1"/>
      <c r="B17" s="47" t="s">
        <v>17</v>
      </c>
      <c r="C17" s="48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24673056.716058992</v>
      </c>
      <c r="D18" s="11" t="s">
        <v>3</v>
      </c>
      <c r="E18" s="1"/>
    </row>
    <row r="19" spans="1:5" ht="15" customHeight="1" x14ac:dyDescent="0.25">
      <c r="A19" s="1"/>
      <c r="B19" s="47" t="s">
        <v>142</v>
      </c>
      <c r="C19" s="48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Engangstillæg'!C25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Engangstillæg'!E25</f>
        <v>0</v>
      </c>
      <c r="D21" s="8" t="s">
        <v>3</v>
      </c>
      <c r="E21" s="1"/>
    </row>
    <row r="22" spans="1:5" ht="15" customHeight="1" x14ac:dyDescent="0.25">
      <c r="A22" s="1"/>
      <c r="B22" s="51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47" t="s">
        <v>160</v>
      </c>
      <c r="C23" s="48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-1273458.1087879688</v>
      </c>
      <c r="D24" s="11" t="s">
        <v>3</v>
      </c>
      <c r="E24" s="1"/>
    </row>
    <row r="25" spans="1:5" x14ac:dyDescent="0.25">
      <c r="A25" s="1"/>
      <c r="B25" s="47" t="s">
        <v>44</v>
      </c>
      <c r="C25" s="12">
        <f>SUM(C16,C18,C22,C24)</f>
        <v>34796258.836945638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y2/udOFtzbRpbcHa2qzltuWyM1XB1b5mS/tCYmMfHHOzVxEmakBiQS0Ec1IdN2JKPv1QPFo63h4XaXtO87J8Q==" saltValue="X3aYDLQZcI7Wz4yoZeatg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20</v>
      </c>
      <c r="C7" s="48"/>
      <c r="D7" s="22"/>
      <c r="E7" s="1"/>
    </row>
    <row r="8" spans="1:5" ht="15" customHeight="1" x14ac:dyDescent="0.25">
      <c r="A8" s="1"/>
      <c r="B8" s="46" t="s">
        <v>37</v>
      </c>
      <c r="C8" s="7">
        <f>'Fane 2.2. Økonomisk ramme 2021'!C16</f>
        <v>11396660.229674619</v>
      </c>
      <c r="D8" s="8" t="s">
        <v>3</v>
      </c>
      <c r="E8" s="1"/>
    </row>
    <row r="9" spans="1:5" ht="15" customHeight="1" x14ac:dyDescent="0.25">
      <c r="A9" s="1"/>
      <c r="B9" s="46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6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SUM(C8:C10)*'Fane 14. Nøgletal'!C12</f>
        <v>224514.20652458997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-232423.48872398419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drift'!G38</f>
        <v>-106114.38088994146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anlæg'!G37</f>
        <v>-198660.02059302473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11083976.545992259</v>
      </c>
      <c r="D15" s="11" t="s">
        <v>3</v>
      </c>
      <c r="E15" s="1"/>
    </row>
    <row r="16" spans="1:5" x14ac:dyDescent="0.25">
      <c r="A16" s="1"/>
      <c r="B16" s="47" t="s">
        <v>17</v>
      </c>
      <c r="C16" s="48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25159115.933365352</v>
      </c>
      <c r="D17" s="11" t="s">
        <v>3</v>
      </c>
      <c r="E17" s="1"/>
    </row>
    <row r="18" spans="1:5" ht="15" customHeight="1" x14ac:dyDescent="0.25">
      <c r="A18" s="1"/>
      <c r="B18" s="47" t="s">
        <v>142</v>
      </c>
      <c r="C18" s="48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Engangstillæg'!C33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Engangstillæg'!E33</f>
        <v>0</v>
      </c>
      <c r="D20" s="8" t="s">
        <v>3</v>
      </c>
      <c r="E20" s="1"/>
    </row>
    <row r="21" spans="1:5" ht="15" customHeight="1" x14ac:dyDescent="0.25">
      <c r="A21" s="1"/>
      <c r="B21" s="51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7" t="s">
        <v>160</v>
      </c>
      <c r="C22" s="48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-1273458.1087879688</v>
      </c>
      <c r="D23" s="11" t="s">
        <v>3</v>
      </c>
      <c r="E23" s="1"/>
    </row>
    <row r="24" spans="1:5" x14ac:dyDescent="0.25">
      <c r="A24" s="1"/>
      <c r="B24" s="47" t="s">
        <v>45</v>
      </c>
      <c r="C24" s="12">
        <f>SUM(C15,C17,C21,C23)</f>
        <v>34969634.370569646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2GaYVubtYjQduVC/CamtSzJVXOfovFQ/IVpaEkZNpetV8fyCEkk+h/ZPgQb+pJVqo0sKqH7eLE7/irJEEJlV2w==" saltValue="DsWgCf+pFYa2IppXwiCqi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194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29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7" t="s">
        <v>20</v>
      </c>
      <c r="C7" s="48"/>
      <c r="D7" s="22"/>
      <c r="E7" s="1"/>
    </row>
    <row r="8" spans="1:5" ht="15" customHeight="1" x14ac:dyDescent="0.25">
      <c r="A8" s="1"/>
      <c r="B8" s="46" t="s">
        <v>251</v>
      </c>
      <c r="C8" s="7">
        <f>'Fane 2.3. Økonomisk ramme 2022'!C15</f>
        <v>11083976.545992259</v>
      </c>
      <c r="D8" s="8" t="s">
        <v>3</v>
      </c>
      <c r="E8" s="1"/>
    </row>
    <row r="9" spans="1:5" ht="15" customHeight="1" x14ac:dyDescent="0.25">
      <c r="A9" s="1"/>
      <c r="B9" s="46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6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26</v>
      </c>
      <c r="C11" s="9">
        <f>C8*'Fane 14. Nøgletal'!C12</f>
        <v>218354.3379560475</v>
      </c>
      <c r="D11" s="8" t="s">
        <v>3</v>
      </c>
      <c r="E11" s="1"/>
    </row>
    <row r="12" spans="1:5" ht="15" customHeight="1" x14ac:dyDescent="0.25">
      <c r="A12" s="1"/>
      <c r="B12" s="39" t="s">
        <v>10</v>
      </c>
      <c r="C12" s="9">
        <f>-SUM(C8:C11)*'Fane 5. Individuelt eff. krav'!G10</f>
        <v>-226046.61767896611</v>
      </c>
      <c r="D12" s="8" t="s">
        <v>3</v>
      </c>
      <c r="E12" s="1"/>
    </row>
    <row r="13" spans="1:5" ht="15" customHeight="1" x14ac:dyDescent="0.25">
      <c r="A13" s="1"/>
      <c r="B13" s="39" t="s">
        <v>38</v>
      </c>
      <c r="C13" s="9">
        <f>-'Fane 4.1. Gen. krav - drift'!G44</f>
        <v>-106040.73750960386</v>
      </c>
      <c r="D13" s="8" t="s">
        <v>3</v>
      </c>
      <c r="E13" s="1"/>
    </row>
    <row r="14" spans="1:5" ht="15" customHeight="1" x14ac:dyDescent="0.25">
      <c r="A14" s="1"/>
      <c r="B14" s="39" t="s">
        <v>39</v>
      </c>
      <c r="C14" s="9">
        <f>-'Fane 4.2. Gen. krav - anlæg'!G43</f>
        <v>-196820.53210554403</v>
      </c>
      <c r="D14" s="8" t="s">
        <v>3</v>
      </c>
      <c r="E14" s="1"/>
    </row>
    <row r="15" spans="1:5" x14ac:dyDescent="0.25">
      <c r="A15" s="1"/>
      <c r="B15" s="40" t="s">
        <v>28</v>
      </c>
      <c r="C15" s="10">
        <f>SUM(C8:C14)</f>
        <v>10773422.99665419</v>
      </c>
      <c r="D15" s="11" t="s">
        <v>3</v>
      </c>
      <c r="E15" s="1"/>
    </row>
    <row r="16" spans="1:5" x14ac:dyDescent="0.25">
      <c r="A16" s="1"/>
      <c r="B16" s="47" t="s">
        <v>17</v>
      </c>
      <c r="C16" s="48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25654750.51725265</v>
      </c>
      <c r="D17" s="11" t="s">
        <v>3</v>
      </c>
      <c r="E17" s="1"/>
    </row>
    <row r="18" spans="1:5" ht="15" customHeight="1" x14ac:dyDescent="0.25">
      <c r="A18" s="1"/>
      <c r="B18" s="47" t="s">
        <v>142</v>
      </c>
      <c r="C18" s="48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Engangstillæg'!C41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Engangstillæg'!E41</f>
        <v>0</v>
      </c>
      <c r="D20" s="8" t="s">
        <v>3</v>
      </c>
      <c r="E20" s="1"/>
    </row>
    <row r="21" spans="1:5" ht="15" customHeight="1" x14ac:dyDescent="0.25">
      <c r="A21" s="1"/>
      <c r="B21" s="51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7" t="s">
        <v>154</v>
      </c>
      <c r="C22" s="12">
        <f>SUM(C15,C17,C21)</f>
        <v>36428173.513906837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ILBSMBMB2g1meLacVZAqz4dCec7pieNaCLI/MxOZYlqti9E6CXZ+zQzmDMeLbtYpYUFA3i8uYALcWYGSs04vQ==" saltValue="nXalmHeW8S3DTqhf/TcF9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221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7" t="s">
        <v>84</v>
      </c>
      <c r="C8" s="48"/>
      <c r="D8" s="48"/>
      <c r="E8" s="48"/>
      <c r="F8" s="22"/>
      <c r="G8" s="1"/>
    </row>
    <row r="9" spans="1:7" x14ac:dyDescent="0.25">
      <c r="A9" s="1"/>
      <c r="B9" s="84" t="s">
        <v>81</v>
      </c>
      <c r="C9" s="85"/>
      <c r="D9" s="86"/>
      <c r="E9" s="7">
        <v>8256530.7024240606</v>
      </c>
      <c r="F9" s="8" t="s">
        <v>3</v>
      </c>
      <c r="G9" s="1"/>
    </row>
    <row r="10" spans="1:7" x14ac:dyDescent="0.25">
      <c r="A10" s="1"/>
      <c r="B10" s="84" t="s">
        <v>82</v>
      </c>
      <c r="C10" s="85"/>
      <c r="D10" s="86"/>
      <c r="E10" s="7">
        <v>-10258.7351044877</v>
      </c>
      <c r="F10" s="8" t="s">
        <v>3</v>
      </c>
      <c r="G10" s="1"/>
    </row>
    <row r="11" spans="1:7" x14ac:dyDescent="0.25">
      <c r="A11" s="1"/>
      <c r="B11" s="84" t="s">
        <v>83</v>
      </c>
      <c r="C11" s="85"/>
      <c r="D11" s="86"/>
      <c r="E11" s="7">
        <v>-991704.72999253066</v>
      </c>
      <c r="F11" s="8" t="s">
        <v>3</v>
      </c>
      <c r="G11" s="1"/>
    </row>
    <row r="12" spans="1:7" x14ac:dyDescent="0.25">
      <c r="A12" s="1"/>
      <c r="B12" s="75" t="s">
        <v>67</v>
      </c>
      <c r="C12" s="76"/>
      <c r="D12" s="77"/>
      <c r="E12" s="7">
        <v>0</v>
      </c>
      <c r="F12" s="8" t="s">
        <v>3</v>
      </c>
      <c r="G12" s="1"/>
    </row>
    <row r="13" spans="1:7" x14ac:dyDescent="0.25">
      <c r="A13" s="1"/>
      <c r="B13" s="75" t="s">
        <v>68</v>
      </c>
      <c r="C13" s="76"/>
      <c r="D13" s="77"/>
      <c r="E13" s="9">
        <v>1229197.1960999998</v>
      </c>
      <c r="F13" s="8" t="s">
        <v>3</v>
      </c>
      <c r="G13" s="1"/>
    </row>
    <row r="14" spans="1:7" x14ac:dyDescent="0.25">
      <c r="A14" s="1"/>
      <c r="B14" s="75" t="s">
        <v>41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40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43</v>
      </c>
      <c r="C16" s="76"/>
      <c r="D16" s="77"/>
      <c r="E16" s="9">
        <v>0</v>
      </c>
      <c r="F16" s="8" t="s">
        <v>3</v>
      </c>
      <c r="G16" s="1"/>
    </row>
    <row r="17" spans="1:7" x14ac:dyDescent="0.25">
      <c r="A17" s="1"/>
      <c r="B17" s="75" t="s">
        <v>42</v>
      </c>
      <c r="C17" s="76"/>
      <c r="D17" s="77"/>
      <c r="E17" s="9">
        <v>0</v>
      </c>
      <c r="F17" s="8" t="s">
        <v>3</v>
      </c>
      <c r="G17" s="1"/>
    </row>
    <row r="18" spans="1:7" x14ac:dyDescent="0.25">
      <c r="A18" s="1"/>
      <c r="B18" s="75" t="s">
        <v>26</v>
      </c>
      <c r="C18" s="76"/>
      <c r="D18" s="77"/>
      <c r="E18" s="9">
        <f>SUM(E9:E17)*'Fane 14. Nøgletal'!C11</f>
        <v>143375.61892491701</v>
      </c>
      <c r="F18" s="8" t="s">
        <v>3</v>
      </c>
      <c r="G18" s="1"/>
    </row>
    <row r="19" spans="1:7" x14ac:dyDescent="0.25">
      <c r="A19" s="1"/>
      <c r="B19" s="75" t="s">
        <v>10</v>
      </c>
      <c r="C19" s="76"/>
      <c r="D19" s="77"/>
      <c r="E19" s="9">
        <f>-SUM(E9:E18)*'Fane 5. Individuelt eff. krav'!G10</f>
        <v>-172542.80104703922</v>
      </c>
      <c r="F19" s="8" t="s">
        <v>3</v>
      </c>
      <c r="G19" s="1"/>
    </row>
    <row r="20" spans="1:7" x14ac:dyDescent="0.25">
      <c r="A20" s="1"/>
      <c r="B20" s="75" t="s">
        <v>38</v>
      </c>
      <c r="C20" s="76"/>
      <c r="D20" s="77"/>
      <c r="E20" s="9">
        <f>-'Fane 4.1. Gen. krav - drift'!G20</f>
        <v>-106628.40959030642</v>
      </c>
      <c r="F20" s="8" t="s">
        <v>3</v>
      </c>
      <c r="G20" s="1"/>
    </row>
    <row r="21" spans="1:7" x14ac:dyDescent="0.25">
      <c r="A21" s="1"/>
      <c r="B21" s="75" t="s">
        <v>39</v>
      </c>
      <c r="C21" s="76"/>
      <c r="D21" s="77"/>
      <c r="E21" s="9">
        <f>-'Fane 4.2. Gen. krav - anlæg'!G19</f>
        <v>-28672.647951832983</v>
      </c>
      <c r="F21" s="8" t="s">
        <v>3</v>
      </c>
      <c r="G21" s="1"/>
    </row>
    <row r="22" spans="1:7" x14ac:dyDescent="0.25">
      <c r="A22" s="1"/>
      <c r="B22" s="90" t="s">
        <v>28</v>
      </c>
      <c r="C22" s="91"/>
      <c r="D22" s="92"/>
      <c r="E22" s="10">
        <f>SUM(E9:E21)</f>
        <v>8319296.1937627811</v>
      </c>
      <c r="F22" s="11" t="s">
        <v>3</v>
      </c>
      <c r="G22" s="1"/>
    </row>
    <row r="23" spans="1:7" x14ac:dyDescent="0.25">
      <c r="A23" s="1"/>
      <c r="B23" s="78" t="s">
        <v>17</v>
      </c>
      <c r="C23" s="79"/>
      <c r="D23" s="79"/>
      <c r="E23" s="48"/>
      <c r="F23" s="22"/>
      <c r="G23" s="1"/>
    </row>
    <row r="24" spans="1:7" x14ac:dyDescent="0.25">
      <c r="A24" s="1"/>
      <c r="B24" s="80" t="s">
        <v>17</v>
      </c>
      <c r="C24" s="81"/>
      <c r="D24" s="82"/>
      <c r="E24" s="10">
        <v>22361205.798111737</v>
      </c>
      <c r="F24" s="11" t="s">
        <v>3</v>
      </c>
      <c r="G24" s="1"/>
    </row>
    <row r="25" spans="1:7" x14ac:dyDescent="0.25">
      <c r="A25" s="1"/>
      <c r="B25" s="47" t="s">
        <v>130</v>
      </c>
      <c r="C25" s="48"/>
      <c r="D25" s="48"/>
      <c r="E25" s="48"/>
      <c r="F25" s="22"/>
      <c r="G25" s="1"/>
    </row>
    <row r="26" spans="1:7" ht="27" customHeight="1" x14ac:dyDescent="0.25">
      <c r="A26" s="1"/>
      <c r="B26" s="93" t="s">
        <v>132</v>
      </c>
      <c r="C26" s="94"/>
      <c r="D26" s="95"/>
      <c r="E26" s="10">
        <v>106297.83315879189</v>
      </c>
      <c r="F26" s="11" t="s">
        <v>3</v>
      </c>
      <c r="G26" s="1"/>
    </row>
    <row r="27" spans="1:7" x14ac:dyDescent="0.25">
      <c r="A27" s="1"/>
      <c r="B27" s="47" t="s">
        <v>11</v>
      </c>
      <c r="C27" s="48"/>
      <c r="D27" s="48"/>
      <c r="E27" s="48"/>
      <c r="F27" s="22"/>
      <c r="G27" s="1"/>
    </row>
    <row r="28" spans="1:7" x14ac:dyDescent="0.25">
      <c r="A28" s="1"/>
      <c r="B28" s="80" t="s">
        <v>19</v>
      </c>
      <c r="C28" s="81"/>
      <c r="D28" s="82"/>
      <c r="E28" s="10">
        <v>0</v>
      </c>
      <c r="F28" s="11" t="s">
        <v>3</v>
      </c>
      <c r="G28" s="1"/>
    </row>
    <row r="29" spans="1:7" x14ac:dyDescent="0.25">
      <c r="A29" s="1"/>
      <c r="B29" s="47" t="s">
        <v>160</v>
      </c>
      <c r="C29" s="48"/>
      <c r="D29" s="48"/>
      <c r="E29" s="48"/>
      <c r="F29" s="22"/>
      <c r="G29" s="1"/>
    </row>
    <row r="30" spans="1:7" x14ac:dyDescent="0.25">
      <c r="A30" s="1"/>
      <c r="B30" s="80" t="s">
        <v>131</v>
      </c>
      <c r="C30" s="81"/>
      <c r="D30" s="82"/>
      <c r="E30" s="10">
        <v>1724326.7311674375</v>
      </c>
      <c r="F30" s="11" t="s">
        <v>3</v>
      </c>
      <c r="G30" s="1"/>
    </row>
    <row r="31" spans="1:7" x14ac:dyDescent="0.25">
      <c r="A31" s="1"/>
      <c r="B31" s="47" t="s">
        <v>23</v>
      </c>
      <c r="C31" s="48"/>
      <c r="D31" s="48"/>
      <c r="E31" s="12">
        <f>SUM(E28,E26,E24,E22,E30)</f>
        <v>32511126.556200743</v>
      </c>
      <c r="F31" s="13" t="s">
        <v>3</v>
      </c>
      <c r="G31" s="1"/>
    </row>
    <row r="32" spans="1:7" ht="28.15" customHeight="1" x14ac:dyDescent="0.25">
      <c r="A32" s="1"/>
      <c r="B32" s="87" t="s">
        <v>189</v>
      </c>
      <c r="C32" s="88"/>
      <c r="D32" s="88"/>
      <c r="E32" s="88"/>
      <c r="F32" s="89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LdhIx+YWRihcDZTPExDUANJCLKnnQe3U38xzz5TjwIzhvWDTen03yAnWwTEluiAQh0L1C5Z7aaQoqfjBvgaGg==" saltValue="4B4oMbdGt1fo443MhVzHhg==" spinCount="100000" sheet="1" objects="1" scenarios="1"/>
  <mergeCells count="21"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  <mergeCell ref="B3:F4"/>
    <mergeCell ref="B9:D9"/>
    <mergeCell ref="B12:D12"/>
    <mergeCell ref="B13:D13"/>
    <mergeCell ref="B14:D14"/>
    <mergeCell ref="B10:D10"/>
    <mergeCell ref="B11:D11"/>
    <mergeCell ref="B15:D15"/>
    <mergeCell ref="B16:D16"/>
    <mergeCell ref="B17:D17"/>
    <mergeCell ref="B23:D23"/>
    <mergeCell ref="B24:D2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3" t="s">
        <v>202</v>
      </c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96" t="s">
        <v>97</v>
      </c>
      <c r="C5" s="97"/>
      <c r="D5" s="97"/>
      <c r="E5" s="97"/>
      <c r="F5" s="97"/>
      <c r="G5" s="97"/>
      <c r="H5" s="98"/>
      <c r="I5" s="1"/>
    </row>
    <row r="6" spans="1:9" x14ac:dyDescent="0.25">
      <c r="A6" s="1"/>
      <c r="B6" s="99" t="s">
        <v>86</v>
      </c>
      <c r="C6" s="100"/>
      <c r="D6" s="100"/>
      <c r="E6" s="100"/>
      <c r="F6" s="101"/>
      <c r="G6" s="26">
        <v>5401081</v>
      </c>
      <c r="H6" s="14" t="s">
        <v>3</v>
      </c>
      <c r="I6" s="1"/>
    </row>
    <row r="7" spans="1:9" x14ac:dyDescent="0.25">
      <c r="A7" s="1"/>
      <c r="B7" s="99" t="s">
        <v>87</v>
      </c>
      <c r="C7" s="100"/>
      <c r="D7" s="100"/>
      <c r="E7" s="100"/>
      <c r="F7" s="101"/>
      <c r="G7" s="26">
        <f>G6*'Fane 14. Nøgletal'!C25</f>
        <v>108021.62</v>
      </c>
      <c r="H7" s="14" t="s">
        <v>3</v>
      </c>
      <c r="I7" s="1"/>
    </row>
    <row r="8" spans="1:9" x14ac:dyDescent="0.25">
      <c r="A8" s="1"/>
      <c r="B8" s="47"/>
      <c r="C8" s="48"/>
      <c r="D8" s="48"/>
      <c r="E8" s="48"/>
      <c r="F8" s="48"/>
      <c r="G8" s="48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6" t="s">
        <v>98</v>
      </c>
      <c r="C10" s="97"/>
      <c r="D10" s="97"/>
      <c r="E10" s="97"/>
      <c r="F10" s="97"/>
      <c r="G10" s="97"/>
      <c r="H10" s="98"/>
      <c r="I10" s="1"/>
    </row>
    <row r="11" spans="1:9" x14ac:dyDescent="0.25">
      <c r="A11" s="1"/>
      <c r="B11" s="99" t="s">
        <v>88</v>
      </c>
      <c r="C11" s="100"/>
      <c r="D11" s="100"/>
      <c r="E11" s="100"/>
      <c r="F11" s="101"/>
      <c r="G11" s="26">
        <f>(G6-G7)*(1+'Fane 14. Nøgletal'!C9)</f>
        <v>5360281.2341259997</v>
      </c>
      <c r="H11" s="14" t="s">
        <v>3</v>
      </c>
      <c r="I11" s="1"/>
    </row>
    <row r="12" spans="1:9" x14ac:dyDescent="0.25">
      <c r="A12" s="1"/>
      <c r="B12" s="102" t="s">
        <v>89</v>
      </c>
      <c r="C12" s="103"/>
      <c r="D12" s="103"/>
      <c r="E12" s="103"/>
      <c r="F12" s="104"/>
      <c r="G12" s="26">
        <v>0</v>
      </c>
      <c r="H12" s="14" t="s">
        <v>3</v>
      </c>
      <c r="I12" s="1"/>
    </row>
    <row r="13" spans="1:9" x14ac:dyDescent="0.25">
      <c r="A13" s="1"/>
      <c r="B13" s="99" t="s">
        <v>90</v>
      </c>
      <c r="C13" s="100"/>
      <c r="D13" s="100"/>
      <c r="E13" s="100"/>
      <c r="F13" s="101"/>
      <c r="G13" s="26">
        <f>(G11+G12)*'Fane 14. Nøgletal'!C25</f>
        <v>107205.62468251999</v>
      </c>
      <c r="H13" s="14" t="s">
        <v>3</v>
      </c>
      <c r="I13" s="1"/>
    </row>
    <row r="14" spans="1:9" x14ac:dyDescent="0.25">
      <c r="A14" s="1"/>
      <c r="B14" s="47"/>
      <c r="C14" s="48"/>
      <c r="D14" s="48"/>
      <c r="E14" s="48"/>
      <c r="F14" s="48"/>
      <c r="G14" s="48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6" t="s">
        <v>99</v>
      </c>
      <c r="C16" s="97"/>
      <c r="D16" s="97"/>
      <c r="E16" s="97"/>
      <c r="F16" s="97"/>
      <c r="G16" s="97"/>
      <c r="H16" s="98"/>
      <c r="I16" s="1"/>
    </row>
    <row r="17" spans="1:9" x14ac:dyDescent="0.25">
      <c r="A17" s="1"/>
      <c r="B17" s="99" t="s">
        <v>91</v>
      </c>
      <c r="C17" s="100"/>
      <c r="D17" s="100"/>
      <c r="E17" s="100"/>
      <c r="F17" s="101"/>
      <c r="G17" s="26">
        <f>(G13/'Fane 14. Nøgletal'!C25-G13)*(1+'Fane 14. Nøgletal'!C11)</f>
        <v>5341852.5872430746</v>
      </c>
      <c r="H17" s="14" t="s">
        <v>3</v>
      </c>
      <c r="I17" s="1"/>
    </row>
    <row r="18" spans="1:9" x14ac:dyDescent="0.25">
      <c r="A18" s="1"/>
      <c r="B18" s="99" t="s">
        <v>222</v>
      </c>
      <c r="C18" s="100"/>
      <c r="D18" s="100"/>
      <c r="E18" s="100"/>
      <c r="F18" s="101"/>
      <c r="G18" s="26">
        <v>-10432.107727753541</v>
      </c>
      <c r="H18" s="14" t="s">
        <v>3</v>
      </c>
      <c r="I18" s="1"/>
    </row>
    <row r="19" spans="1:9" x14ac:dyDescent="0.25">
      <c r="A19" s="1"/>
      <c r="B19" s="102" t="s">
        <v>92</v>
      </c>
      <c r="C19" s="103"/>
      <c r="D19" s="103"/>
      <c r="E19" s="103"/>
      <c r="F19" s="104"/>
      <c r="G19" s="26">
        <v>0</v>
      </c>
      <c r="H19" s="14" t="s">
        <v>3</v>
      </c>
      <c r="I19" s="1"/>
    </row>
    <row r="20" spans="1:9" x14ac:dyDescent="0.25">
      <c r="A20" s="1"/>
      <c r="B20" s="99" t="s">
        <v>93</v>
      </c>
      <c r="C20" s="100"/>
      <c r="D20" s="100"/>
      <c r="E20" s="100"/>
      <c r="F20" s="101"/>
      <c r="G20" s="26">
        <f>SUM(G17:G19)*'Fane 14. Nøgletal'!C25</f>
        <v>106628.40959030642</v>
      </c>
      <c r="H20" s="14" t="s">
        <v>3</v>
      </c>
      <c r="I20" s="1"/>
    </row>
    <row r="21" spans="1:9" x14ac:dyDescent="0.25">
      <c r="A21" s="1"/>
      <c r="B21" s="47"/>
      <c r="C21" s="48"/>
      <c r="D21" s="48"/>
      <c r="E21" s="48"/>
      <c r="F21" s="48"/>
      <c r="G21" s="48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6" t="s">
        <v>100</v>
      </c>
      <c r="C23" s="97"/>
      <c r="D23" s="97"/>
      <c r="E23" s="97"/>
      <c r="F23" s="97"/>
      <c r="G23" s="97"/>
      <c r="H23" s="98"/>
      <c r="I23" s="1"/>
    </row>
    <row r="24" spans="1:9" x14ac:dyDescent="0.25">
      <c r="A24" s="1"/>
      <c r="B24" s="99" t="s">
        <v>94</v>
      </c>
      <c r="C24" s="100"/>
      <c r="D24" s="100"/>
      <c r="E24" s="100"/>
      <c r="F24" s="101"/>
      <c r="G24" s="26">
        <f>(SUM(G17:G19)-G20)*(1+'Fane 14. Nøgletal'!C11)</f>
        <v>5313091.0559067465</v>
      </c>
      <c r="H24" s="14" t="s">
        <v>3</v>
      </c>
      <c r="I24" s="1"/>
    </row>
    <row r="25" spans="1:9" x14ac:dyDescent="0.25">
      <c r="A25" s="1"/>
      <c r="B25" s="102" t="s">
        <v>95</v>
      </c>
      <c r="C25" s="103"/>
      <c r="D25" s="103"/>
      <c r="E25" s="103"/>
      <c r="F25" s="104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9" t="s">
        <v>96</v>
      </c>
      <c r="C26" s="100"/>
      <c r="D26" s="100"/>
      <c r="E26" s="100"/>
      <c r="F26" s="101"/>
      <c r="G26" s="26">
        <f>(G24+G25)*'Fane 14. Nøgletal'!C25</f>
        <v>106261.82111813493</v>
      </c>
      <c r="H26" s="14" t="s">
        <v>3</v>
      </c>
      <c r="I26" s="1"/>
    </row>
    <row r="27" spans="1:9" x14ac:dyDescent="0.25">
      <c r="A27" s="1"/>
      <c r="B27" s="47"/>
      <c r="C27" s="48"/>
      <c r="D27" s="48"/>
      <c r="E27" s="48"/>
      <c r="F27" s="48"/>
      <c r="G27" s="48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6" t="s">
        <v>191</v>
      </c>
      <c r="C29" s="97"/>
      <c r="D29" s="97"/>
      <c r="E29" s="97"/>
      <c r="F29" s="97"/>
      <c r="G29" s="97"/>
      <c r="H29" s="98"/>
      <c r="I29" s="1"/>
    </row>
    <row r="30" spans="1:9" x14ac:dyDescent="0.25">
      <c r="A30" s="1"/>
      <c r="B30" s="99" t="s">
        <v>103</v>
      </c>
      <c r="C30" s="100"/>
      <c r="D30" s="100"/>
      <c r="E30" s="100"/>
      <c r="F30" s="101"/>
      <c r="G30" s="26">
        <f>(G24+G25-G26)*(1+'Fane 14. Nøgletal'!C12)</f>
        <v>5309403.7707139477</v>
      </c>
      <c r="H30" s="14" t="s">
        <v>3</v>
      </c>
      <c r="I30" s="1"/>
    </row>
    <row r="31" spans="1:9" x14ac:dyDescent="0.25">
      <c r="A31" s="1"/>
      <c r="B31" s="99" t="s">
        <v>145</v>
      </c>
      <c r="C31" s="100"/>
      <c r="D31" s="100"/>
      <c r="E31" s="100"/>
      <c r="F31" s="101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9" t="s">
        <v>220</v>
      </c>
      <c r="C32" s="100"/>
      <c r="D32" s="100"/>
      <c r="E32" s="100"/>
      <c r="F32" s="101"/>
      <c r="G32" s="26">
        <f>(G30+G31)*'Fane 14. Nøgletal'!C25</f>
        <v>106188.07541427895</v>
      </c>
      <c r="H32" s="14" t="s">
        <v>3</v>
      </c>
      <c r="I32" s="1"/>
    </row>
    <row r="33" spans="1:9" x14ac:dyDescent="0.25">
      <c r="A33" s="1"/>
      <c r="B33" s="47"/>
      <c r="C33" s="48"/>
      <c r="D33" s="48"/>
      <c r="E33" s="48"/>
      <c r="F33" s="48"/>
      <c r="G33" s="48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6" t="s">
        <v>126</v>
      </c>
      <c r="C35" s="97"/>
      <c r="D35" s="97"/>
      <c r="E35" s="97"/>
      <c r="F35" s="97"/>
      <c r="G35" s="97"/>
      <c r="H35" s="98"/>
      <c r="I35" s="1"/>
    </row>
    <row r="36" spans="1:9" x14ac:dyDescent="0.25">
      <c r="A36" s="1"/>
      <c r="B36" s="99" t="s">
        <v>125</v>
      </c>
      <c r="C36" s="100"/>
      <c r="D36" s="100"/>
      <c r="E36" s="100"/>
      <c r="F36" s="101"/>
      <c r="G36" s="26">
        <f>(G30-G32)*(1+'Fane 14. Nøgletal'!C12)</f>
        <v>5305719.0444970727</v>
      </c>
      <c r="H36" s="14" t="s">
        <v>3</v>
      </c>
      <c r="I36" s="1"/>
    </row>
    <row r="37" spans="1:9" x14ac:dyDescent="0.25">
      <c r="A37" s="1"/>
      <c r="B37" s="99" t="s">
        <v>146</v>
      </c>
      <c r="C37" s="100"/>
      <c r="D37" s="100"/>
      <c r="E37" s="100"/>
      <c r="F37" s="101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9" t="s">
        <v>104</v>
      </c>
      <c r="C38" s="100"/>
      <c r="D38" s="100"/>
      <c r="E38" s="100"/>
      <c r="F38" s="101"/>
      <c r="G38" s="26">
        <f>(G36+G37)*'Fane 14. Nøgletal'!C25</f>
        <v>106114.38088994146</v>
      </c>
      <c r="H38" s="14" t="s">
        <v>3</v>
      </c>
      <c r="I38" s="1"/>
    </row>
    <row r="39" spans="1:9" x14ac:dyDescent="0.25">
      <c r="A39" s="1"/>
      <c r="B39" s="47"/>
      <c r="C39" s="48"/>
      <c r="D39" s="48"/>
      <c r="E39" s="48"/>
      <c r="F39" s="48"/>
      <c r="G39" s="48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6" t="s">
        <v>127</v>
      </c>
      <c r="C41" s="97"/>
      <c r="D41" s="97"/>
      <c r="E41" s="97"/>
      <c r="F41" s="97"/>
      <c r="G41" s="97"/>
      <c r="H41" s="98"/>
      <c r="I41" s="1"/>
    </row>
    <row r="42" spans="1:9" x14ac:dyDescent="0.25">
      <c r="A42" s="1"/>
      <c r="B42" s="99" t="s">
        <v>124</v>
      </c>
      <c r="C42" s="100"/>
      <c r="D42" s="100"/>
      <c r="E42" s="100"/>
      <c r="F42" s="101"/>
      <c r="G42" s="26">
        <f>(G36-G38)*(1+'Fane 14. Nøgletal'!C12)</f>
        <v>5302036.8754801927</v>
      </c>
      <c r="H42" s="14" t="s">
        <v>3</v>
      </c>
      <c r="I42" s="1"/>
    </row>
    <row r="43" spans="1:9" x14ac:dyDescent="0.25">
      <c r="A43" s="1"/>
      <c r="B43" s="99" t="s">
        <v>147</v>
      </c>
      <c r="C43" s="100"/>
      <c r="D43" s="100"/>
      <c r="E43" s="100"/>
      <c r="F43" s="101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9" t="s">
        <v>105</v>
      </c>
      <c r="C44" s="100"/>
      <c r="D44" s="100"/>
      <c r="E44" s="100"/>
      <c r="F44" s="101"/>
      <c r="G44" s="26">
        <f>(G42+G43)*'Fane 14. Nøgletal'!C25</f>
        <v>106040.73750960386</v>
      </c>
      <c r="H44" s="14" t="s">
        <v>3</v>
      </c>
      <c r="I44" s="1"/>
    </row>
    <row r="45" spans="1:9" x14ac:dyDescent="0.25">
      <c r="A45" s="1"/>
      <c r="B45" s="47"/>
      <c r="C45" s="48"/>
      <c r="D45" s="48"/>
      <c r="E45" s="48"/>
      <c r="F45" s="48"/>
      <c r="G45" s="48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vQnWxCyiwzsxglyBjgnR5/wmkujZ6hTngnVbAViGZAotwLaA7cXzbz9e0GDnrpQ+zqhk4NvF10RqatR5dLo7nQ==" saltValue="73ots2MxqqhQ7y4fAsMqOg==" spinCount="100000" sheet="1" objects="1" scenarios="1"/>
  <mergeCells count="29">
    <mergeCell ref="B2:H4"/>
    <mergeCell ref="B5:H5"/>
    <mergeCell ref="B6:F6"/>
    <mergeCell ref="B7:F7"/>
    <mergeCell ref="B11:F11"/>
    <mergeCell ref="B10:H10"/>
    <mergeCell ref="B41:H41"/>
    <mergeCell ref="B42:F42"/>
    <mergeCell ref="B44:F44"/>
    <mergeCell ref="B37:F37"/>
    <mergeCell ref="B43:F43"/>
    <mergeCell ref="B16:H16"/>
    <mergeCell ref="B23:H23"/>
    <mergeCell ref="B12:F12"/>
    <mergeCell ref="B13:F13"/>
    <mergeCell ref="B17:F17"/>
    <mergeCell ref="B19:F19"/>
    <mergeCell ref="B18:F18"/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5" t="s">
        <v>203</v>
      </c>
      <c r="C2" s="105"/>
      <c r="D2" s="105"/>
      <c r="E2" s="105"/>
      <c r="F2" s="105"/>
      <c r="G2" s="105"/>
      <c r="H2" s="105"/>
      <c r="I2" s="1"/>
    </row>
    <row r="3" spans="1:9" ht="18.75" x14ac:dyDescent="0.3">
      <c r="A3" s="1"/>
      <c r="B3" s="50"/>
      <c r="C3" s="50"/>
      <c r="D3" s="50"/>
      <c r="E3" s="50"/>
      <c r="F3" s="50"/>
      <c r="G3" s="50"/>
      <c r="H3" s="50"/>
      <c r="I3" s="1"/>
    </row>
    <row r="4" spans="1:9" x14ac:dyDescent="0.25">
      <c r="A4" s="1"/>
      <c r="B4" s="96" t="s">
        <v>101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106</v>
      </c>
      <c r="C5" s="100"/>
      <c r="D5" s="100"/>
      <c r="E5" s="100"/>
      <c r="F5" s="101"/>
      <c r="G5" s="26">
        <v>3020500</v>
      </c>
      <c r="H5" s="14" t="s">
        <v>3</v>
      </c>
      <c r="I5" s="1"/>
    </row>
    <row r="6" spans="1:9" x14ac:dyDescent="0.25">
      <c r="A6" s="1"/>
      <c r="B6" s="99" t="s">
        <v>102</v>
      </c>
      <c r="C6" s="100"/>
      <c r="D6" s="100"/>
      <c r="E6" s="100"/>
      <c r="F6" s="101"/>
      <c r="G6" s="26">
        <f>G5*'Fane 14. Nøgletal'!C17</f>
        <v>27486.550000000003</v>
      </c>
      <c r="H6" s="14" t="s">
        <v>3</v>
      </c>
      <c r="I6" s="1"/>
    </row>
    <row r="7" spans="1:9" x14ac:dyDescent="0.25">
      <c r="A7" s="1"/>
      <c r="B7" s="47"/>
      <c r="C7" s="48"/>
      <c r="D7" s="48"/>
      <c r="E7" s="48"/>
      <c r="F7" s="48"/>
      <c r="G7" s="48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107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108</v>
      </c>
      <c r="C10" s="100"/>
      <c r="D10" s="100"/>
      <c r="E10" s="100"/>
      <c r="F10" s="101"/>
      <c r="G10" s="26">
        <f>(G5-G6)*(1+'Fane 14. Nøgletal'!C9)</f>
        <v>3031024.7208150001</v>
      </c>
      <c r="H10" s="14" t="s">
        <v>3</v>
      </c>
      <c r="I10" s="1"/>
    </row>
    <row r="11" spans="1:9" x14ac:dyDescent="0.25">
      <c r="A11" s="1"/>
      <c r="B11" s="102" t="s">
        <v>109</v>
      </c>
      <c r="C11" s="103"/>
      <c r="D11" s="103"/>
      <c r="E11" s="103"/>
      <c r="F11" s="104"/>
      <c r="G11" s="26">
        <v>0</v>
      </c>
      <c r="H11" s="14" t="s">
        <v>3</v>
      </c>
      <c r="I11" s="1"/>
    </row>
    <row r="12" spans="1:9" x14ac:dyDescent="0.25">
      <c r="A12" s="1"/>
      <c r="B12" s="99" t="s">
        <v>110</v>
      </c>
      <c r="C12" s="100"/>
      <c r="D12" s="100"/>
      <c r="E12" s="100"/>
      <c r="F12" s="101"/>
      <c r="G12" s="26">
        <f>G10*'Fane 14. Nøgletal'!C17+G11*'Fane 14. Nøgletal'!C18</f>
        <v>27582.324959416503</v>
      </c>
      <c r="H12" s="14" t="s">
        <v>3</v>
      </c>
      <c r="I12" s="1"/>
    </row>
    <row r="13" spans="1:9" x14ac:dyDescent="0.25">
      <c r="A13" s="1"/>
      <c r="B13" s="47"/>
      <c r="C13" s="48"/>
      <c r="D13" s="48"/>
      <c r="E13" s="48"/>
      <c r="F13" s="48"/>
      <c r="G13" s="48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111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112</v>
      </c>
      <c r="C16" s="100"/>
      <c r="D16" s="100"/>
      <c r="E16" s="100"/>
      <c r="F16" s="101"/>
      <c r="G16" s="26">
        <f>(G10+G11-G12)*(1+'Fane 14. Nøgletal'!C11)</f>
        <v>3054200.5723455427</v>
      </c>
      <c r="H16" s="14" t="s">
        <v>3</v>
      </c>
      <c r="I16" s="1"/>
    </row>
    <row r="17" spans="1:9" x14ac:dyDescent="0.25">
      <c r="A17" s="1"/>
      <c r="B17" s="99" t="s">
        <v>223</v>
      </c>
      <c r="C17" s="100"/>
      <c r="D17" s="100"/>
      <c r="E17" s="100"/>
      <c r="F17" s="101"/>
      <c r="G17" s="26">
        <v>-1008464.5399294044</v>
      </c>
      <c r="H17" s="14" t="s">
        <v>3</v>
      </c>
      <c r="I17" s="1"/>
    </row>
    <row r="18" spans="1:9" x14ac:dyDescent="0.25">
      <c r="A18" s="1"/>
      <c r="B18" s="102" t="s">
        <v>113</v>
      </c>
      <c r="C18" s="103"/>
      <c r="D18" s="103"/>
      <c r="E18" s="103"/>
      <c r="F18" s="104"/>
      <c r="G18" s="26">
        <v>1249970.6287140897</v>
      </c>
      <c r="H18" s="14" t="s">
        <v>3</v>
      </c>
      <c r="I18" s="1"/>
    </row>
    <row r="19" spans="1:9" x14ac:dyDescent="0.25">
      <c r="A19" s="1"/>
      <c r="B19" s="99" t="s">
        <v>114</v>
      </c>
      <c r="C19" s="100"/>
      <c r="D19" s="100"/>
      <c r="E19" s="100"/>
      <c r="F19" s="101"/>
      <c r="G19" s="26">
        <f>SUM(G16:G18)*'Fane 14. Nøgletal'!C19</f>
        <v>28672.647951832983</v>
      </c>
      <c r="H19" s="14" t="s">
        <v>3</v>
      </c>
      <c r="I19" s="1"/>
    </row>
    <row r="20" spans="1:9" x14ac:dyDescent="0.25">
      <c r="A20" s="1"/>
      <c r="B20" s="47"/>
      <c r="C20" s="48"/>
      <c r="D20" s="48"/>
      <c r="E20" s="48"/>
      <c r="F20" s="48"/>
      <c r="G20" s="48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115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116</v>
      </c>
      <c r="C23" s="100"/>
      <c r="D23" s="100"/>
      <c r="E23" s="100"/>
      <c r="F23" s="101"/>
      <c r="G23" s="26">
        <f>(SUM(G16:G18)-G19)*(1+'Fane 14. Nøgletal'!C11)</f>
        <v>3322246.8880011099</v>
      </c>
      <c r="H23" s="14" t="s">
        <v>3</v>
      </c>
      <c r="I23" s="1"/>
    </row>
    <row r="24" spans="1:9" x14ac:dyDescent="0.25">
      <c r="A24" s="1"/>
      <c r="B24" s="102" t="s">
        <v>117</v>
      </c>
      <c r="C24" s="103"/>
      <c r="D24" s="103"/>
      <c r="E24" s="103"/>
      <c r="F24" s="104"/>
      <c r="G24" s="26">
        <f>('Fane 2.1. Økonomisk ramme 2020'!C11+'Fane 2.1. Økonomisk ramme 2020'!C13+'Fane 2.1. Økonomisk ramme 2020'!C15)*(1+'Fane 14. Nøgletal'!C12)</f>
        <v>3736826.079918175</v>
      </c>
      <c r="H24" s="14" t="s">
        <v>3</v>
      </c>
      <c r="I24" s="1"/>
    </row>
    <row r="25" spans="1:9" x14ac:dyDescent="0.25">
      <c r="A25" s="1"/>
      <c r="B25" s="99" t="s">
        <v>118</v>
      </c>
      <c r="C25" s="100"/>
      <c r="D25" s="100"/>
      <c r="E25" s="100"/>
      <c r="F25" s="101"/>
      <c r="G25" s="26">
        <f>G23*'Fane 14. Nøgletal'!C19+G24*'Fane 14. Nøgletal'!C20</f>
        <v>135029.40859528581</v>
      </c>
      <c r="H25" s="14" t="s">
        <v>3</v>
      </c>
      <c r="I25" s="1"/>
    </row>
    <row r="26" spans="1:9" x14ac:dyDescent="0.25">
      <c r="A26" s="1"/>
      <c r="B26" s="47"/>
      <c r="C26" s="48"/>
      <c r="D26" s="48"/>
      <c r="E26" s="48"/>
      <c r="F26" s="48"/>
      <c r="G26" s="48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190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119</v>
      </c>
      <c r="C29" s="100"/>
      <c r="D29" s="100"/>
      <c r="E29" s="100"/>
      <c r="F29" s="101"/>
      <c r="G29" s="26">
        <f>(G23+G24-G25)*(1+'Fane 14. Nøgletal'!C12)</f>
        <v>7060447.217442682</v>
      </c>
      <c r="H29" s="14" t="s">
        <v>3</v>
      </c>
      <c r="I29" s="1"/>
    </row>
    <row r="30" spans="1:9" x14ac:dyDescent="0.25">
      <c r="A30" s="1"/>
      <c r="B30" s="99" t="s">
        <v>151</v>
      </c>
      <c r="C30" s="100"/>
      <c r="D30" s="100"/>
      <c r="E30" s="100"/>
      <c r="F30" s="101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9" t="s">
        <v>219</v>
      </c>
      <c r="C31" s="100"/>
      <c r="D31" s="100"/>
      <c r="E31" s="100"/>
      <c r="F31" s="101"/>
      <c r="G31" s="26">
        <f>(G29+G30)*'Fane 14. Nøgletal'!C20</f>
        <v>200516.70097537219</v>
      </c>
      <c r="H31" s="14" t="s">
        <v>3</v>
      </c>
      <c r="I31" s="1"/>
    </row>
    <row r="32" spans="1:9" x14ac:dyDescent="0.25">
      <c r="A32" s="1"/>
      <c r="B32" s="47"/>
      <c r="C32" s="48"/>
      <c r="D32" s="48"/>
      <c r="E32" s="48"/>
      <c r="F32" s="48"/>
      <c r="G32" s="48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128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123</v>
      </c>
      <c r="C35" s="100"/>
      <c r="D35" s="100"/>
      <c r="E35" s="100"/>
      <c r="F35" s="101"/>
      <c r="G35" s="26">
        <f>(G29-G31)*(1+'Fane 14. Nøgletal'!C12)</f>
        <v>6995071.1476417156</v>
      </c>
      <c r="H35" s="14" t="s">
        <v>3</v>
      </c>
      <c r="I35" s="1"/>
    </row>
    <row r="36" spans="1:9" x14ac:dyDescent="0.25">
      <c r="A36" s="1"/>
      <c r="B36" s="99" t="s">
        <v>152</v>
      </c>
      <c r="C36" s="100"/>
      <c r="D36" s="100"/>
      <c r="E36" s="100"/>
      <c r="F36" s="101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9" t="s">
        <v>120</v>
      </c>
      <c r="C37" s="100"/>
      <c r="D37" s="100"/>
      <c r="E37" s="100"/>
      <c r="F37" s="101"/>
      <c r="G37" s="26">
        <f>(G35+G36)*'Fane 14. Nøgletal'!C20</f>
        <v>198660.02059302473</v>
      </c>
      <c r="H37" s="14" t="s">
        <v>3</v>
      </c>
      <c r="I37" s="1"/>
    </row>
    <row r="38" spans="1:9" x14ac:dyDescent="0.25">
      <c r="A38" s="1"/>
      <c r="B38" s="47"/>
      <c r="C38" s="48"/>
      <c r="D38" s="48"/>
      <c r="E38" s="48"/>
      <c r="F38" s="48"/>
      <c r="G38" s="48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129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122</v>
      </c>
      <c r="C41" s="100"/>
      <c r="D41" s="100"/>
      <c r="E41" s="100"/>
      <c r="F41" s="101"/>
      <c r="G41" s="26">
        <f>(G35-G37)*(1+'Fane 14. Nøgletal'!C12)</f>
        <v>6930300.4262515502</v>
      </c>
      <c r="H41" s="14" t="s">
        <v>3</v>
      </c>
      <c r="I41" s="1"/>
    </row>
    <row r="42" spans="1:9" x14ac:dyDescent="0.25">
      <c r="A42" s="1"/>
      <c r="B42" s="99" t="s">
        <v>153</v>
      </c>
      <c r="C42" s="100"/>
      <c r="D42" s="100"/>
      <c r="E42" s="100"/>
      <c r="F42" s="101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9" t="s">
        <v>121</v>
      </c>
      <c r="C43" s="100"/>
      <c r="D43" s="100"/>
      <c r="E43" s="100"/>
      <c r="F43" s="101"/>
      <c r="G43" s="26">
        <f>(G41+G42)*'Fane 14. Nøgletal'!C20</f>
        <v>196820.53210554403</v>
      </c>
      <c r="H43" s="14" t="s">
        <v>3</v>
      </c>
      <c r="I43" s="1"/>
    </row>
    <row r="44" spans="1:9" x14ac:dyDescent="0.25">
      <c r="A44" s="1"/>
      <c r="B44" s="47"/>
      <c r="C44" s="48"/>
      <c r="D44" s="48"/>
      <c r="E44" s="48"/>
      <c r="F44" s="48"/>
      <c r="G44" s="48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AaYESEvclgfIMkhwfrEftoF0clXgx7RJsA12IT2BAJ7BeATM6cdXBt6Z/XZn/WidkX6CTbHEqlJdZYeEUMpX3A==" saltValue="VTRZuYYZ76b9BRuG4Nj56w==" spinCount="100000" sheet="1" objects="1" scenarios="1"/>
  <mergeCells count="29"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144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10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178</v>
      </c>
      <c r="C9" s="100"/>
      <c r="D9" s="100"/>
      <c r="E9" s="100"/>
      <c r="F9" s="101"/>
      <c r="G9" s="25">
        <v>0</v>
      </c>
      <c r="H9" s="14"/>
      <c r="I9" s="1"/>
    </row>
    <row r="10" spans="1:9" x14ac:dyDescent="0.25">
      <c r="A10" s="1"/>
      <c r="B10" s="99" t="s">
        <v>179</v>
      </c>
      <c r="C10" s="100"/>
      <c r="D10" s="100"/>
      <c r="E10" s="100"/>
      <c r="F10" s="101"/>
      <c r="G10" s="25">
        <v>0.02</v>
      </c>
      <c r="H10" s="14"/>
      <c r="I10" s="1"/>
    </row>
    <row r="11" spans="1:9" x14ac:dyDescent="0.25">
      <c r="A11" s="1"/>
      <c r="B11" s="47"/>
      <c r="C11" s="48"/>
      <c r="D11" s="48"/>
      <c r="E11" s="48"/>
      <c r="F11" s="48"/>
      <c r="G11" s="48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6"/>
      <c r="C13" s="106"/>
      <c r="D13" s="106"/>
      <c r="E13" s="106"/>
      <c r="F13" s="106"/>
      <c r="G13" s="106"/>
      <c r="H13" s="106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1FcG95L8pZEPyKK7zsZPWzPutaETCkj1ShNacBeHrIdhAGwX/nnSasBEHYMFd4WPkC3eDuYVirNAjuVNEa5Kdg==" saltValue="XyCzlJ+pAIDRjkkI9Iwq7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2019-09-13T11:59:10Z</dcterms:modified>
</cp:coreProperties>
</file>