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Kalundborg Vandforsyning AS (V112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Tilknyttet aktivitet" sheetId="29" r:id="rId16"/>
    <sheet name="Fane 12. Bortfald" sheetId="21" r:id="rId17"/>
    <sheet name="Fane 13. Hist. over-underdæk." sheetId="10" r:id="rId18"/>
    <sheet name="Fane 14. Nøgletal" sheetId="26" r:id="rId19"/>
  </sheets>
  <externalReferences>
    <externalReference r:id="rId20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18" i="11" l="1"/>
  <c r="E17" i="11"/>
  <c r="E16" i="11"/>
  <c r="E21" i="11"/>
  <c r="E20" i="11"/>
  <c r="E19" i="11"/>
  <c r="E15" i="11"/>
  <c r="E14" i="11"/>
  <c r="E13" i="11"/>
  <c r="E12" i="11"/>
  <c r="E11" i="11"/>
  <c r="E29" i="27" l="1"/>
  <c r="E30" i="27" s="1"/>
  <c r="E22" i="11" l="1"/>
  <c r="E23" i="11"/>
  <c r="E10" i="11"/>
  <c r="E18" i="32" l="1"/>
  <c r="E9" i="32"/>
  <c r="E32" i="32" s="1"/>
  <c r="E9" i="40" l="1"/>
  <c r="G7" i="30" l="1"/>
  <c r="E10" i="40" l="1"/>
  <c r="C33" i="2" s="1"/>
  <c r="E32" i="21" l="1"/>
  <c r="E33" i="21" s="1"/>
  <c r="C32" i="21"/>
  <c r="C33" i="21" s="1"/>
  <c r="E25" i="21"/>
  <c r="E26" i="21" s="1"/>
  <c r="C25" i="21"/>
  <c r="C26" i="21" s="1"/>
  <c r="E18" i="21"/>
  <c r="E19" i="21" s="1"/>
  <c r="C18" i="21"/>
  <c r="C19" i="21" s="1"/>
  <c r="G30" i="36" l="1"/>
  <c r="C11" i="15"/>
  <c r="G31" i="30"/>
  <c r="C10" i="15"/>
  <c r="G37" i="30"/>
  <c r="C9" i="22"/>
  <c r="G36" i="36"/>
  <c r="C10" i="22"/>
  <c r="G42" i="36"/>
  <c r="C10" i="23"/>
  <c r="C9" i="23"/>
  <c r="G43" i="30"/>
  <c r="E35" i="39"/>
  <c r="C35" i="39"/>
  <c r="E27" i="39"/>
  <c r="C27" i="39"/>
  <c r="E19" i="39"/>
  <c r="C19" i="39"/>
  <c r="E11" i="39"/>
  <c r="C11" i="39"/>
  <c r="C13" i="39" l="1"/>
  <c r="C12" i="39"/>
  <c r="C29" i="39"/>
  <c r="C28" i="39"/>
  <c r="C30" i="39" s="1"/>
  <c r="C19" i="22" s="1"/>
  <c r="C21" i="39"/>
  <c r="C20" i="39"/>
  <c r="E13" i="39"/>
  <c r="E12" i="39"/>
  <c r="E14" i="39" s="1"/>
  <c r="C26" i="2" s="1"/>
  <c r="E29" i="39"/>
  <c r="E28" i="39"/>
  <c r="E30" i="39" s="1"/>
  <c r="C20" i="22" s="1"/>
  <c r="C37" i="39"/>
  <c r="C36" i="39"/>
  <c r="E21" i="39"/>
  <c r="E20" i="39"/>
  <c r="E37" i="39"/>
  <c r="E36" i="39"/>
  <c r="C22" i="39" l="1"/>
  <c r="C20" i="15" s="1"/>
  <c r="C38" i="39"/>
  <c r="C19" i="23" s="1"/>
  <c r="E38" i="39"/>
  <c r="C20" i="23" s="1"/>
  <c r="E22" i="39"/>
  <c r="C21" i="15" s="1"/>
  <c r="C21" i="22"/>
  <c r="C14" i="39"/>
  <c r="C25" i="2" s="1"/>
  <c r="G12" i="10"/>
  <c r="G14" i="10" s="1"/>
  <c r="C21" i="23" l="1"/>
  <c r="C22" i="15"/>
  <c r="C27" i="2"/>
  <c r="G6" i="36" l="1"/>
  <c r="G10" i="36" l="1"/>
  <c r="G11" i="30"/>
  <c r="G13" i="30" s="1"/>
  <c r="G17" i="30" s="1"/>
  <c r="G12" i="36" l="1"/>
  <c r="G16" i="36" s="1"/>
  <c r="G19" i="36" l="1"/>
  <c r="G23" i="36" s="1"/>
  <c r="G20" i="30" l="1"/>
  <c r="G24" i="30" s="1"/>
  <c r="E21" i="27"/>
  <c r="E20" i="27" l="1"/>
  <c r="E18" i="27" l="1"/>
  <c r="E27" i="32" l="1"/>
  <c r="E37" i="32" l="1"/>
  <c r="E39" i="32" s="1"/>
  <c r="C24" i="15" s="1"/>
  <c r="C23" i="22" s="1"/>
  <c r="C31" i="2"/>
  <c r="F24" i="11" l="1"/>
  <c r="C10" i="37" s="1"/>
  <c r="C11" i="37" s="1"/>
  <c r="C12" i="37" s="1"/>
  <c r="C11" i="2" s="1"/>
  <c r="G24" i="11"/>
  <c r="E11" i="21" l="1"/>
  <c r="C11" i="21"/>
  <c r="E11" i="29"/>
  <c r="C11" i="29"/>
  <c r="C15" i="19"/>
  <c r="C16" i="19" s="1"/>
  <c r="C12" i="29" l="1"/>
  <c r="C15" i="2" s="1"/>
  <c r="E12" i="29"/>
  <c r="C16" i="2" s="1"/>
  <c r="C17" i="23"/>
  <c r="C17" i="22"/>
  <c r="C18" i="15"/>
  <c r="C23" i="2"/>
  <c r="E12" i="21"/>
  <c r="C14" i="2" s="1"/>
  <c r="C12" i="21"/>
  <c r="C13" i="2" s="1"/>
  <c r="G25" i="30" l="1"/>
  <c r="G26" i="30" s="1"/>
  <c r="C19" i="2" l="1"/>
  <c r="G30" i="30" l="1"/>
  <c r="G32" i="30" s="1"/>
  <c r="E24" i="11"/>
  <c r="E10" i="37" s="1"/>
  <c r="E11" i="37" s="1"/>
  <c r="E12" i="37" s="1"/>
  <c r="C12" i="2" s="1"/>
  <c r="G24" i="36" s="1"/>
  <c r="G25" i="36" s="1"/>
  <c r="C29" i="2"/>
  <c r="C14" i="15" l="1"/>
  <c r="G36" i="30" l="1"/>
  <c r="G38" i="30" s="1"/>
  <c r="C13" i="22" l="1"/>
  <c r="G42" i="30" l="1"/>
  <c r="C20" i="2"/>
  <c r="G29" i="36"/>
  <c r="G31" i="36" s="1"/>
  <c r="G44" i="30" l="1"/>
  <c r="C13" i="23" s="1"/>
  <c r="G35" i="36"/>
  <c r="G37" i="36" s="1"/>
  <c r="C15" i="15" l="1"/>
  <c r="C14" i="22"/>
  <c r="G41" i="36" l="1"/>
  <c r="G43" i="36" s="1"/>
  <c r="C14" i="23" l="1"/>
  <c r="E19" i="27"/>
  <c r="E23" i="27" s="1"/>
  <c r="E37" i="27" s="1"/>
  <c r="C9" i="2" l="1"/>
  <c r="C17" i="2" s="1"/>
  <c r="C18" i="2" l="1"/>
  <c r="C21" i="2" s="1"/>
  <c r="C36" i="2" s="1"/>
  <c r="C9" i="15" l="1"/>
  <c r="C12" i="15" l="1"/>
  <c r="C13" i="15" s="1"/>
  <c r="C16" i="15" l="1"/>
  <c r="C25" i="15" s="1"/>
  <c r="C8" i="22" l="1"/>
  <c r="C11" i="22" s="1"/>
  <c r="C12" i="22" s="1"/>
  <c r="C15" i="22" l="1"/>
  <c r="C24" i="22" l="1"/>
  <c r="C8" i="23"/>
  <c r="C11" i="23" l="1"/>
  <c r="C12" i="23" s="1"/>
  <c r="C15" i="23" l="1"/>
  <c r="C22" i="23" s="1"/>
</calcChain>
</file>

<file path=xl/sharedStrings.xml><?xml version="1.0" encoding="utf-8"?>
<sst xmlns="http://schemas.openxmlformats.org/spreadsheetml/2006/main" count="635" uniqueCount="258">
  <si>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</si>
  <si>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</si>
  <si>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</si>
  <si>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</si>
  <si>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</si>
  <si>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</si>
  <si>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</si>
  <si>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</si>
  <si>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</si>
  <si>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</si>
  <si>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</si>
  <si>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</si>
  <si>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</si>
  <si>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</si>
  <si>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</si>
  <si>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</si>
  <si>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</si>
  <si>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</si>
  <si>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</si>
  <si>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</si>
  <si>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</si>
  <si>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</si>
  <si>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</si>
  <si>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</si>
  <si>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</si>
  <si>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</si>
  <si>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</si>
  <si>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</si>
  <si>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</si>
  <si>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</si>
  <si>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</si>
  <si>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</si>
  <si>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</si>
  <si>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</si>
  <si>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</si>
  <si>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</si>
  <si>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</si>
  <si>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</si>
  <si>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</si>
  <si>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</si>
  <si>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</si>
  <si>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</si>
  <si>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</si>
  <si>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</si>
  <si>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</si>
  <si>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</si>
  <si>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</si>
  <si>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</si>
  <si>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</si>
  <si>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</si>
  <si>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</si>
  <si>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</si>
  <si>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</si>
  <si>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Korrektion og kontrol med overholdelse af indtægtsrammer</t>
  </si>
  <si>
    <t>Fane 14: Nøgletal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</si>
  <si>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</si>
  <si>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</si>
  <si>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</si>
  <si>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</si>
  <si>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</si>
  <si>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</si>
  <si>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</si>
  <si>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</si>
  <si>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</si>
  <si>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</si>
  <si>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</si>
  <si>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</si>
  <si>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</si>
  <si>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</si>
  <si>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</si>
  <si>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</si>
  <si>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</si>
  <si>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</si>
  <si>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</si>
  <si>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</si>
  <si>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</si>
  <si>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</si>
  <si>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</si>
  <si>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</si>
  <si>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</si>
  <si>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</si>
  <si>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</si>
  <si>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grundlag - Drift</t>
  </si>
  <si>
    <t>Korrektion af grundlag - Anlæg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</si>
  <si>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</si>
  <si>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</si>
  <si>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</si>
  <si>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</si>
  <si>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</si>
  <si>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</si>
  <si>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</si>
  <si>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</si>
  <si>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</si>
  <si>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</si>
  <si>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</si>
  <si>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</si>
  <si>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</si>
  <si>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</si>
  <si>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</si>
  <si>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</si>
  <si>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</si>
  <si>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</si>
  <si>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</si>
  <si>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</si>
  <si>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</si>
  <si>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</si>
  <si>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</si>
  <si>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</si>
  <si>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</si>
  <si>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</si>
  <si>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</si>
  <si>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</si>
  <si>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</si>
  <si>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</si>
  <si>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</si>
  <si>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</si>
  <si>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</si>
  <si>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</si>
  <si>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</si>
  <si>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</si>
  <si>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</si>
  <si>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</si>
  <si>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</si>
  <si>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</si>
  <si>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</si>
  <si>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</si>
  <si>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</si>
  <si>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</si>
  <si>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</si>
  <si>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</si>
  <si>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Korrektion af budgetterede omkostninger</t>
  </si>
  <si>
    <t>Tillæg/fradrag for kontrol af prisloft 2016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</si>
  <si>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</si>
  <si>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</si>
  <si>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</si>
  <si>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</si>
  <si>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</si>
  <si>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</si>
  <si>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</si>
  <si>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</si>
  <si>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</si>
  <si>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</si>
  <si>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</si>
  <si>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</si>
  <si>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</si>
  <si>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</si>
  <si>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</si>
  <si>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</si>
  <si>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</si>
  <si>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</si>
  <si>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</si>
  <si>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</si>
  <si>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</si>
  <si>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</si>
  <si>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</si>
  <si>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</si>
  <si>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</si>
  <si>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</si>
  <si>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</si>
  <si>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</si>
  <si>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</si>
  <si>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Kontrol af den økonomiske ramme for 2018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</si>
  <si>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</si>
  <si>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</si>
  <si>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</si>
  <si>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</si>
  <si>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</si>
  <si>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</si>
  <si>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</si>
  <si>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</si>
  <si>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</si>
  <si>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</si>
  <si>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</si>
  <si>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</si>
  <si>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</si>
  <si>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</si>
  <si>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</si>
  <si>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Vejledende økonomisk ramme for 2021</t>
  </si>
  <si>
    <t>Individuelt effektiviseringskrav til de økonomiske rammer for 2017-2018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</si>
  <si>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</si>
  <si>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</si>
  <si>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</si>
  <si>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</si>
  <si>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</si>
  <si>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</si>
  <si>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</si>
  <si>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</si>
  <si>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Difference 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</si>
  <si>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</si>
  <si>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</si>
  <si>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Generelt effektiviseringskrav til anlægsomkostninger i de vejledende økonomiske rammer for 2021</t>
  </si>
  <si>
    <t>Generelt effektiviseringskrav til driftsomkostninger i de vejledende økonomiske rammer for 2021</t>
  </si>
  <si>
    <t xml:space="preserve">Til statusmeddelelse for 2020 </t>
  </si>
  <si>
    <t>Fane 2.3: Samlet økonomisk ramme for 2022</t>
  </si>
  <si>
    <t>Fane 2.4: Samlet økonomisk ramme for 2023</t>
  </si>
  <si>
    <t>Fradrag for kontrol med overholdelse af indtægtsrammen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</si>
  <si>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</si>
  <si>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</si>
  <si>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</si>
  <si>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</si>
  <si>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</si>
  <si>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</si>
  <si>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</si>
  <si>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</si>
  <si>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</si>
  <si>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7: Kontrol med overholdelse af den økonomiske ramme for 2018</t>
  </si>
  <si>
    <t>Fane 10.1: Varige tillæg</t>
  </si>
  <si>
    <t>Fane 10.2: Engangstillæg</t>
  </si>
  <si>
    <t>Fane 11: Tilknyttet aktivitet under hovedvirksomheden</t>
  </si>
  <si>
    <t>Fane 12: Bortfald eller nedsættelse af omkostninger til mål, medfinansiering eller udvidelse</t>
  </si>
  <si>
    <t>Fane 13: Historisk over- eller underdækning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</si>
  <si>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</si>
  <si>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</si>
  <si>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</si>
  <si>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</si>
  <si>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</si>
  <si>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</si>
  <si>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</si>
  <si>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Tillæg/fradrag for kontrol af den økonomiske ramme for 2018</t>
  </si>
  <si>
    <t>Vejledende generelt effektiviseringskrav til anlægsomkostningerne i ØR21</t>
  </si>
  <si>
    <t>Vejledende generelt effektiviseringskrav til driftsomkostningerne i ØR21</t>
  </si>
  <si>
    <t>Fane 3: Videreførte omkostninger fra den økonomiske ramme for 2019</t>
  </si>
  <si>
    <t>Korrektion af driftsomkostninger i grundlaget</t>
  </si>
  <si>
    <t>Korrektion af anlægsomkostninger i grundlaget</t>
  </si>
  <si>
    <t>Fane 3</t>
  </si>
  <si>
    <t>Korrektion af tidligere rammer</t>
  </si>
  <si>
    <t>Tillæg/fradrag for korrektion af tidligere rammer</t>
  </si>
  <si>
    <t>Fradrag i de økonomiske rammer for 2021-2022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</si>
  <si>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</si>
  <si>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</si>
  <si>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</si>
  <si>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</si>
  <si>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</si>
  <si>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</si>
  <si>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Fejlagtigt beregnet generelt effektiviseringskrav</t>
  </si>
  <si>
    <t>Tillæg for forkert beregnet generelt effektiviseringskrav</t>
  </si>
  <si>
    <t>Afgift for ledningsført vand</t>
  </si>
  <si>
    <t>Afgift til Forsyningssekretariatet</t>
  </si>
  <si>
    <t>Køb af ydelser og produkter fra andre vandselskaber reguleret af vandsektorloven</t>
  </si>
  <si>
    <t>Ejendomsskat</t>
  </si>
  <si>
    <t>Tjenestemandspensioner</t>
  </si>
  <si>
    <t>Ingen engangstillæg</t>
  </si>
  <si>
    <t xml:space="preserve">Effektiviseringskrav </t>
  </si>
  <si>
    <t>Ledningsnet ≤ Ø50 mm</t>
  </si>
  <si>
    <t>Ø 50mm &lt; Ledningsnet ≤ Ø110 mm</t>
  </si>
  <si>
    <t>Ø110 mm &lt; Ledningsnet ≤ Ø 250 mm</t>
  </si>
  <si>
    <t>Stik på ledningsnet, Mek./EL</t>
  </si>
  <si>
    <t>Stik på ledningsnet, Konstruktioner</t>
  </si>
  <si>
    <t>Ventiler på Ø 50mm &lt; Ledningsnet ≤ Ø110 mm</t>
  </si>
  <si>
    <t>SRO-anlæg, vandværk</t>
  </si>
  <si>
    <t>Instrumenter (flowmåler+tryk transducer+alarmer)</t>
  </si>
  <si>
    <t>Arbejdsplads</t>
  </si>
  <si>
    <t>Ventiler på Ø110 mm &lt; Ledningsnet ≤ Ø 250 mm</t>
  </si>
  <si>
    <t>Anlægsprojekter igangsat senest 1. marts 2016</t>
  </si>
  <si>
    <t>Ekstraordinært engangskorrektion</t>
  </si>
  <si>
    <t>Engangskorrektion for forkert beregnet generelt effektiviseringskrav</t>
  </si>
  <si>
    <t>Til indregning i den økonomiske ramme for 2020</t>
  </si>
  <si>
    <t>Tillæg/fradrag i den økonomiske ramme for 2020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</si>
</sst>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21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3" fillId="2" borderId="0" xfId="0" applyFont="1" applyFill="1" applyBorder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8" fillId="0" borderId="1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wrapText="1"/>
    </xf>
    <xf numFmtId="0" fontId="8" fillId="9" borderId="6" xfId="0" quotePrefix="1" applyFont="1" applyFill="1" applyBorder="1" applyAlignment="1" applyProtection="1">
      <alignment wrapText="1"/>
    </xf>
    <xf numFmtId="0" fontId="8" fillId="9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0" borderId="2" xfId="0" applyFont="1" applyFill="1" applyBorder="1" applyAlignment="1" applyProtection="1">
      <alignment horizontal="left"/>
    </xf>
    <xf numFmtId="0" fontId="8" fillId="0" borderId="6" xfId="0" applyFont="1" applyFill="1" applyBorder="1" applyAlignment="1" applyProtection="1">
      <alignment horizontal="left"/>
    </xf>
    <xf numFmtId="0" fontId="8" fillId="0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9" borderId="6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 wrapText="1"/>
    </xf>
    <xf numFmtId="0" fontId="8" fillId="0" borderId="1" xfId="0" applyNumberFormat="1" applyFont="1" applyFill="1" applyBorder="1" applyProtection="1"/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 refreshError="1"/>
      <sheetData sheetId="1">
        <row r="1">
          <cell r="A1" t="str">
            <v>ØR 2020-2023 samt statusmeddelelser</v>
          </cell>
        </row>
      </sheetData>
      <sheetData sheetId="2"/>
      <sheetData sheetId="3">
        <row r="1">
          <cell r="B1" t="str">
            <v>ØR 2018-2021 samt statusmeddelelser</v>
          </cell>
        </row>
      </sheetData>
      <sheetData sheetId="4">
        <row r="1">
          <cell r="A1" t="str">
            <v>AABBABAABBB[</v>
          </cell>
        </row>
      </sheetData>
      <sheetData sheetId="5">
        <row r="5">
          <cell r="C5">
            <v>1.0168999999999999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5" t="s">
        <v>4</v>
      </c>
      <c r="E6" s="55"/>
      <c r="F6" s="55"/>
      <c r="G6" s="55"/>
      <c r="H6" s="3"/>
      <c r="I6" s="1"/>
    </row>
    <row r="7" spans="1:9" ht="15" customHeight="1" x14ac:dyDescent="0.25">
      <c r="A7" s="1"/>
      <c r="B7" s="1"/>
      <c r="C7" s="3"/>
      <c r="D7" s="55"/>
      <c r="E7" s="55"/>
      <c r="F7" s="55"/>
      <c r="G7" s="55"/>
      <c r="H7" s="3"/>
      <c r="I7" s="1"/>
    </row>
    <row r="8" spans="1:9" ht="15.75" x14ac:dyDescent="0.25">
      <c r="A8" s="1"/>
      <c r="B8" s="1"/>
      <c r="C8" s="4"/>
      <c r="D8" s="60" t="s">
        <v>192</v>
      </c>
      <c r="E8" s="60"/>
      <c r="F8" s="60"/>
      <c r="G8" s="60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9" t="s">
        <v>5</v>
      </c>
      <c r="E11" s="59"/>
      <c r="F11" s="59"/>
      <c r="G11" s="59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2" t="s">
        <v>56</v>
      </c>
      <c r="E13" s="53"/>
      <c r="F13" s="53"/>
      <c r="G13" s="54"/>
      <c r="H13" s="1"/>
      <c r="I13" s="1"/>
    </row>
    <row r="14" spans="1:9" x14ac:dyDescent="0.25">
      <c r="A14" s="1"/>
      <c r="B14" s="1"/>
      <c r="C14" s="6" t="s">
        <v>22</v>
      </c>
      <c r="D14" s="52" t="s">
        <v>177</v>
      </c>
      <c r="E14" s="53"/>
      <c r="F14" s="53"/>
      <c r="G14" s="54"/>
      <c r="H14" s="1"/>
      <c r="I14" s="1"/>
    </row>
    <row r="15" spans="1:9" x14ac:dyDescent="0.25">
      <c r="A15" s="1"/>
      <c r="B15" s="1"/>
      <c r="C15" s="6" t="s">
        <v>55</v>
      </c>
      <c r="D15" s="52" t="s">
        <v>133</v>
      </c>
      <c r="E15" s="53"/>
      <c r="F15" s="53"/>
      <c r="G15" s="54"/>
      <c r="H15" s="1"/>
      <c r="I15" s="1"/>
    </row>
    <row r="16" spans="1:9" x14ac:dyDescent="0.25">
      <c r="A16" s="1"/>
      <c r="B16" s="1"/>
      <c r="C16" s="6" t="s">
        <v>57</v>
      </c>
      <c r="D16" s="52" t="s">
        <v>134</v>
      </c>
      <c r="E16" s="53"/>
      <c r="F16" s="53"/>
      <c r="G16" s="54"/>
      <c r="H16" s="1"/>
      <c r="I16" s="1"/>
    </row>
    <row r="17" spans="1:9" x14ac:dyDescent="0.25">
      <c r="A17" s="1"/>
      <c r="B17" s="1"/>
      <c r="C17" s="6" t="s">
        <v>224</v>
      </c>
      <c r="D17" s="52" t="s">
        <v>66</v>
      </c>
      <c r="E17" s="53"/>
      <c r="F17" s="53"/>
      <c r="G17" s="54"/>
      <c r="H17" s="1"/>
      <c r="I17" s="1"/>
    </row>
    <row r="18" spans="1:9" x14ac:dyDescent="0.25">
      <c r="A18" s="1"/>
      <c r="B18" s="1"/>
      <c r="C18" s="34" t="s">
        <v>196</v>
      </c>
      <c r="D18" s="61" t="s">
        <v>162</v>
      </c>
      <c r="E18" s="62"/>
      <c r="F18" s="62"/>
      <c r="G18" s="63"/>
      <c r="H18" s="1"/>
      <c r="I18" s="1"/>
    </row>
    <row r="19" spans="1:9" x14ac:dyDescent="0.25">
      <c r="A19" s="1"/>
      <c r="B19" s="1"/>
      <c r="C19" s="34" t="s">
        <v>197</v>
      </c>
      <c r="D19" s="61" t="s">
        <v>163</v>
      </c>
      <c r="E19" s="62"/>
      <c r="F19" s="62"/>
      <c r="G19" s="63"/>
      <c r="H19" s="1"/>
      <c r="I19" s="1"/>
    </row>
    <row r="20" spans="1:9" x14ac:dyDescent="0.25">
      <c r="A20" s="1"/>
      <c r="B20" s="1"/>
      <c r="C20" s="34" t="s">
        <v>7</v>
      </c>
      <c r="D20" s="61" t="s">
        <v>10</v>
      </c>
      <c r="E20" s="62"/>
      <c r="F20" s="62"/>
      <c r="G20" s="63"/>
      <c r="H20" s="1"/>
      <c r="I20" s="1"/>
    </row>
    <row r="21" spans="1:9" x14ac:dyDescent="0.25">
      <c r="A21" s="1"/>
      <c r="B21" s="1"/>
      <c r="C21" s="6" t="s">
        <v>198</v>
      </c>
      <c r="D21" s="70" t="s">
        <v>17</v>
      </c>
      <c r="E21" s="71"/>
      <c r="F21" s="71"/>
      <c r="G21" s="72"/>
      <c r="H21" s="1"/>
      <c r="I21" s="1"/>
    </row>
    <row r="22" spans="1:9" x14ac:dyDescent="0.25">
      <c r="A22" s="1"/>
      <c r="B22" s="1"/>
      <c r="C22" s="6" t="s">
        <v>140</v>
      </c>
      <c r="D22" s="56" t="s">
        <v>161</v>
      </c>
      <c r="E22" s="57"/>
      <c r="F22" s="57"/>
      <c r="G22" s="58"/>
      <c r="H22" s="1"/>
      <c r="I22" s="1"/>
    </row>
    <row r="23" spans="1:9" x14ac:dyDescent="0.25">
      <c r="A23" s="1"/>
      <c r="B23" s="1"/>
      <c r="C23" s="6" t="s">
        <v>8</v>
      </c>
      <c r="D23" s="56" t="s">
        <v>225</v>
      </c>
      <c r="E23" s="57"/>
      <c r="F23" s="57"/>
      <c r="G23" s="58"/>
      <c r="H23" s="1"/>
      <c r="I23" s="1"/>
    </row>
    <row r="24" spans="1:9" x14ac:dyDescent="0.25">
      <c r="A24" s="1"/>
      <c r="B24" s="1"/>
      <c r="C24" s="6" t="s">
        <v>9</v>
      </c>
      <c r="D24" s="56" t="s">
        <v>58</v>
      </c>
      <c r="E24" s="57"/>
      <c r="F24" s="57"/>
      <c r="G24" s="58"/>
      <c r="H24" s="1"/>
      <c r="I24" s="1"/>
    </row>
    <row r="25" spans="1:9" x14ac:dyDescent="0.25">
      <c r="A25" s="1"/>
      <c r="B25" s="1"/>
      <c r="C25" s="6" t="s">
        <v>199</v>
      </c>
      <c r="D25" s="56" t="s">
        <v>141</v>
      </c>
      <c r="E25" s="57"/>
      <c r="F25" s="57"/>
      <c r="G25" s="58"/>
      <c r="H25" s="1"/>
      <c r="I25" s="1"/>
    </row>
    <row r="26" spans="1:9" x14ac:dyDescent="0.25">
      <c r="A26" s="1"/>
      <c r="B26" s="1"/>
      <c r="C26" s="6" t="s">
        <v>200</v>
      </c>
      <c r="D26" s="56" t="s">
        <v>142</v>
      </c>
      <c r="E26" s="57"/>
      <c r="F26" s="57"/>
      <c r="G26" s="58"/>
      <c r="H26" s="1"/>
      <c r="I26" s="1"/>
    </row>
    <row r="27" spans="1:9" x14ac:dyDescent="0.25">
      <c r="A27" s="1"/>
      <c r="B27" s="1"/>
      <c r="C27" s="6" t="s">
        <v>201</v>
      </c>
      <c r="D27" s="56" t="s">
        <v>59</v>
      </c>
      <c r="E27" s="57"/>
      <c r="F27" s="57"/>
      <c r="G27" s="58"/>
      <c r="H27" s="1"/>
      <c r="I27" s="1"/>
    </row>
    <row r="28" spans="1:9" x14ac:dyDescent="0.25">
      <c r="A28" s="1"/>
      <c r="B28" s="1"/>
      <c r="C28" s="6" t="s">
        <v>183</v>
      </c>
      <c r="D28" s="56" t="s">
        <v>60</v>
      </c>
      <c r="E28" s="57"/>
      <c r="F28" s="57"/>
      <c r="G28" s="58"/>
      <c r="H28" s="1"/>
      <c r="I28" s="1"/>
    </row>
    <row r="29" spans="1:9" x14ac:dyDescent="0.25">
      <c r="A29" s="1"/>
      <c r="B29" s="1"/>
      <c r="C29" s="6" t="s">
        <v>61</v>
      </c>
      <c r="D29" s="64" t="s">
        <v>11</v>
      </c>
      <c r="E29" s="65"/>
      <c r="F29" s="65"/>
      <c r="G29" s="66"/>
      <c r="H29" s="1"/>
      <c r="I29" s="1"/>
    </row>
    <row r="30" spans="1:9" x14ac:dyDescent="0.25">
      <c r="A30" s="1"/>
      <c r="B30" s="1"/>
      <c r="C30" s="6" t="s">
        <v>62</v>
      </c>
      <c r="D30" s="67" t="s">
        <v>184</v>
      </c>
      <c r="E30" s="68"/>
      <c r="F30" s="68"/>
      <c r="G30" s="69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wsYN546wWJP7/nG0ECMb79Uqm7+NOqkTeP6J8MatP47yiDeOSAEwLveE9+w2LSz8DRgxSYvA6wiPtDreYAPTFg==" saltValue="o2GIoseKp8C8cPOznO7sqQ==" spinCount="100000" sheet="1" objects="1" scenarios="1"/>
  <mergeCells count="21">
    <mergeCell ref="D29:G29"/>
    <mergeCell ref="D28:G28"/>
    <mergeCell ref="D30:G30"/>
    <mergeCell ref="D21:G21"/>
    <mergeCell ref="D24:G24"/>
    <mergeCell ref="D25:G25"/>
    <mergeCell ref="D27:G27"/>
    <mergeCell ref="D26:G26"/>
    <mergeCell ref="D23:G23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1'!A1" display="Samlet økonomisk ramme for 2021"/>
    <hyperlink ref="D25:G25" location="'Fane 10.1. Varige tillæg'!A1" display="Varige tillæg"/>
    <hyperlink ref="D27:G27" location="'Fane 11. Tilknyttet aktivitet'!A1" display="Tilknyttet aktivitet"/>
    <hyperlink ref="D28:G28" location="'Fane 12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1:G21" location="'Fane 6. Ikke-påvirkelige omk.'!A1" display="Ikke-påvirkelige omkostninger"/>
    <hyperlink ref="D22:G22" location="'Fane 7. Kontrol af ØR2018'!A1" display="Kontrol af den økonomiske ramme for 2018"/>
    <hyperlink ref="D24:G24" location="'Fane 9. Anlægsprojekter'!A1" display="Anlægsprojekter"/>
    <hyperlink ref="D30:G30" location="'Fane 14. Nøgletal'!A1" display="Nøgletal"/>
    <hyperlink ref="D17:G17" location="'Fane 3. Omkostninger i ØR2019'!A1" display="Omkostninger i ØR2019"/>
    <hyperlink ref="D26:G26" location="'Fane 10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  <hyperlink ref="D29:G29" location="'Fane 13. Hist. over-underdæk.'!A1" display="Historisk over- eller underdæknin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3" t="s">
        <v>204</v>
      </c>
      <c r="C3" s="73"/>
      <c r="D3" s="73"/>
      <c r="E3" s="1"/>
      <c r="F3" s="1"/>
    </row>
    <row r="4" spans="1:6" ht="15" customHeight="1" x14ac:dyDescent="0.25">
      <c r="A4" s="1"/>
      <c r="B4" s="73"/>
      <c r="C4" s="73"/>
      <c r="D4" s="73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02" t="s">
        <v>69</v>
      </c>
      <c r="C8" s="103"/>
      <c r="D8" s="104"/>
      <c r="E8" s="1"/>
      <c r="F8" s="1"/>
    </row>
    <row r="9" spans="1:6" ht="15" customHeight="1" x14ac:dyDescent="0.25">
      <c r="A9" s="1"/>
      <c r="B9" s="46" t="s">
        <v>48</v>
      </c>
      <c r="C9" s="11" t="s">
        <v>70</v>
      </c>
      <c r="D9" s="11"/>
      <c r="E9" s="1"/>
      <c r="F9" s="1"/>
    </row>
    <row r="10" spans="1:6" x14ac:dyDescent="0.25">
      <c r="A10" s="1"/>
      <c r="B10" s="50" t="s">
        <v>236</v>
      </c>
      <c r="C10" s="9">
        <v>20860088</v>
      </c>
      <c r="D10" s="14" t="s">
        <v>3</v>
      </c>
      <c r="E10" s="1"/>
      <c r="F10" s="1"/>
    </row>
    <row r="11" spans="1:6" x14ac:dyDescent="0.25">
      <c r="A11" s="1"/>
      <c r="B11" s="50" t="s">
        <v>237</v>
      </c>
      <c r="C11" s="9">
        <v>65868</v>
      </c>
      <c r="D11" s="14" t="s">
        <v>3</v>
      </c>
      <c r="E11" s="1"/>
      <c r="F11" s="1"/>
    </row>
    <row r="12" spans="1:6" ht="26.25" x14ac:dyDescent="0.25">
      <c r="A12" s="1"/>
      <c r="B12" s="45" t="s">
        <v>238</v>
      </c>
      <c r="C12" s="9">
        <v>8923210</v>
      </c>
      <c r="D12" s="14" t="s">
        <v>3</v>
      </c>
      <c r="E12" s="1"/>
      <c r="F12" s="1"/>
    </row>
    <row r="13" spans="1:6" x14ac:dyDescent="0.25">
      <c r="A13" s="1"/>
      <c r="B13" s="50" t="s">
        <v>239</v>
      </c>
      <c r="C13" s="9">
        <v>46981</v>
      </c>
      <c r="D13" s="14" t="s">
        <v>3</v>
      </c>
      <c r="E13" s="1"/>
      <c r="F13" s="1"/>
    </row>
    <row r="14" spans="1:6" x14ac:dyDescent="0.25">
      <c r="A14" s="1"/>
      <c r="B14" s="50" t="s">
        <v>240</v>
      </c>
      <c r="C14" s="9">
        <v>83629</v>
      </c>
      <c r="D14" s="14" t="s">
        <v>3</v>
      </c>
      <c r="E14" s="1"/>
      <c r="F14" s="1"/>
    </row>
    <row r="15" spans="1:6" x14ac:dyDescent="0.25">
      <c r="A15" s="1"/>
      <c r="B15" s="40" t="s">
        <v>71</v>
      </c>
      <c r="C15" s="12">
        <f>SUM(C10:C14)</f>
        <v>29979776</v>
      </c>
      <c r="D15" s="13" t="s">
        <v>3</v>
      </c>
      <c r="E15" s="1"/>
      <c r="F15" s="1"/>
    </row>
    <row r="16" spans="1:6" x14ac:dyDescent="0.25">
      <c r="A16" s="1"/>
      <c r="B16" s="40" t="s">
        <v>72</v>
      </c>
      <c r="C16" s="12">
        <f>C15*(1+'Fane 14. Nøgletal'!C12)^2</f>
        <v>31172614.025667842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x387DhFHK9iY8QLynKLcLqAufpzc3yQE+Tn0Vw5FZsaaO2pYUSUJWGC88cs2eQ3XdU1S/QUiXo/Pdgdv5lm2Cg==" saltValue="1PI8Tkp19/gphf87rbgNNQ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8" t="s">
        <v>205</v>
      </c>
      <c r="C3" s="98"/>
      <c r="D3" s="98"/>
      <c r="E3" s="98"/>
      <c r="F3" s="98"/>
      <c r="G3" s="1"/>
    </row>
    <row r="4" spans="1:7" ht="15" customHeight="1" x14ac:dyDescent="0.25">
      <c r="A4" s="1"/>
      <c r="B4" s="98"/>
      <c r="C4" s="98"/>
      <c r="D4" s="98"/>
      <c r="E4" s="98"/>
      <c r="F4" s="98"/>
      <c r="G4" s="1"/>
    </row>
    <row r="5" spans="1:7" ht="15" customHeight="1" x14ac:dyDescent="0.25">
      <c r="A5" s="1"/>
      <c r="B5" s="44"/>
      <c r="C5" s="44"/>
      <c r="D5" s="44"/>
      <c r="E5" s="44"/>
      <c r="F5" s="44"/>
      <c r="G5" s="1"/>
    </row>
    <row r="6" spans="1:7" ht="15" customHeight="1" x14ac:dyDescent="0.25">
      <c r="A6" s="1"/>
      <c r="B6" s="102" t="s">
        <v>52</v>
      </c>
      <c r="C6" s="103"/>
      <c r="D6" s="103"/>
      <c r="E6" s="103"/>
      <c r="F6" s="104"/>
      <c r="G6" s="1"/>
    </row>
    <row r="7" spans="1:7" ht="15" customHeight="1" x14ac:dyDescent="0.25">
      <c r="A7" s="1"/>
      <c r="B7" s="105" t="s">
        <v>50</v>
      </c>
      <c r="C7" s="106"/>
      <c r="D7" s="107"/>
      <c r="E7" s="9">
        <v>2300462.7400000002</v>
      </c>
      <c r="F7" s="14" t="s">
        <v>3</v>
      </c>
      <c r="G7" s="1"/>
    </row>
    <row r="8" spans="1:7" ht="15" customHeight="1" x14ac:dyDescent="0.25">
      <c r="A8" s="1"/>
      <c r="B8" s="105" t="s">
        <v>51</v>
      </c>
      <c r="C8" s="106"/>
      <c r="D8" s="107"/>
      <c r="E8" s="9">
        <v>-1935022</v>
      </c>
      <c r="F8" s="14" t="s">
        <v>3</v>
      </c>
      <c r="G8" s="1"/>
    </row>
    <row r="9" spans="1:7" ht="15" customHeight="1" x14ac:dyDescent="0.25">
      <c r="A9" s="1"/>
      <c r="B9" s="92" t="s">
        <v>186</v>
      </c>
      <c r="C9" s="93"/>
      <c r="D9" s="94"/>
      <c r="E9" s="10">
        <f>SUM(E7:E8)</f>
        <v>365440.74000000022</v>
      </c>
      <c r="F9" s="17" t="s">
        <v>3</v>
      </c>
      <c r="G9" s="1"/>
    </row>
    <row r="10" spans="1:7" ht="15" customHeight="1" x14ac:dyDescent="0.25">
      <c r="A10" s="1"/>
      <c r="B10" s="40"/>
      <c r="C10" s="41"/>
      <c r="D10" s="41"/>
      <c r="E10" s="41"/>
      <c r="F10" s="22"/>
      <c r="G10" s="1"/>
    </row>
    <row r="11" spans="1:7" ht="28.5" customHeight="1" x14ac:dyDescent="0.25">
      <c r="A11" s="1"/>
      <c r="B11" s="75" t="s">
        <v>188</v>
      </c>
      <c r="C11" s="76"/>
      <c r="D11" s="76"/>
      <c r="E11" s="76"/>
      <c r="F11" s="77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02" t="s">
        <v>165</v>
      </c>
      <c r="C14" s="103"/>
      <c r="D14" s="103"/>
      <c r="E14" s="103"/>
      <c r="F14" s="104"/>
      <c r="G14" s="1"/>
    </row>
    <row r="15" spans="1:7" x14ac:dyDescent="0.25">
      <c r="A15" s="1"/>
      <c r="B15" s="105" t="s">
        <v>166</v>
      </c>
      <c r="C15" s="106"/>
      <c r="D15" s="107"/>
      <c r="E15" s="9">
        <v>53265660.427044928</v>
      </c>
      <c r="F15" s="14" t="s">
        <v>3</v>
      </c>
      <c r="G15" s="1"/>
    </row>
    <row r="16" spans="1:7" x14ac:dyDescent="0.25">
      <c r="A16" s="1"/>
      <c r="B16" s="105" t="s">
        <v>167</v>
      </c>
      <c r="C16" s="106"/>
      <c r="D16" s="107"/>
      <c r="E16" s="9">
        <v>51479375</v>
      </c>
      <c r="F16" s="14" t="s">
        <v>3</v>
      </c>
      <c r="G16" s="1"/>
    </row>
    <row r="17" spans="1:7" x14ac:dyDescent="0.25">
      <c r="A17" s="1"/>
      <c r="B17" s="105" t="s">
        <v>49</v>
      </c>
      <c r="C17" s="106"/>
      <c r="D17" s="107"/>
      <c r="E17" s="9">
        <v>0</v>
      </c>
      <c r="F17" s="14" t="s">
        <v>3</v>
      </c>
      <c r="G17" s="1"/>
    </row>
    <row r="18" spans="1:7" x14ac:dyDescent="0.25">
      <c r="A18" s="1"/>
      <c r="B18" s="92" t="s">
        <v>187</v>
      </c>
      <c r="C18" s="93"/>
      <c r="D18" s="94"/>
      <c r="E18" s="10">
        <f>E15-(E16-E17)</f>
        <v>1786285.4270449281</v>
      </c>
      <c r="F18" s="17" t="s">
        <v>3</v>
      </c>
      <c r="G18" s="1"/>
    </row>
    <row r="19" spans="1:7" x14ac:dyDescent="0.25">
      <c r="A19" s="1"/>
      <c r="B19" s="40"/>
      <c r="C19" s="41"/>
      <c r="D19" s="41"/>
      <c r="E19" s="41"/>
      <c r="F19" s="22"/>
      <c r="G19" s="1"/>
    </row>
    <row r="20" spans="1:7" ht="30" customHeight="1" x14ac:dyDescent="0.25">
      <c r="A20" s="1"/>
      <c r="B20" s="75" t="s">
        <v>189</v>
      </c>
      <c r="C20" s="76"/>
      <c r="D20" s="76"/>
      <c r="E20" s="76"/>
      <c r="F20" s="77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02" t="s">
        <v>77</v>
      </c>
      <c r="C23" s="103"/>
      <c r="D23" s="103"/>
      <c r="E23" s="103"/>
      <c r="F23" s="104"/>
      <c r="G23" s="1"/>
    </row>
    <row r="24" spans="1:7" x14ac:dyDescent="0.25">
      <c r="A24" s="1"/>
      <c r="B24" s="105" t="s">
        <v>78</v>
      </c>
      <c r="C24" s="106"/>
      <c r="D24" s="107"/>
      <c r="E24" s="9">
        <v>57593193.393747211</v>
      </c>
      <c r="F24" s="14" t="s">
        <v>3</v>
      </c>
      <c r="G24" s="1"/>
    </row>
    <row r="25" spans="1:7" x14ac:dyDescent="0.25">
      <c r="A25" s="1"/>
      <c r="B25" s="105" t="s">
        <v>79</v>
      </c>
      <c r="C25" s="106"/>
      <c r="D25" s="107"/>
      <c r="E25" s="9">
        <v>58160762</v>
      </c>
      <c r="F25" s="14" t="s">
        <v>3</v>
      </c>
      <c r="G25" s="1"/>
    </row>
    <row r="26" spans="1:7" x14ac:dyDescent="0.25">
      <c r="A26" s="1"/>
      <c r="B26" s="105" t="s">
        <v>49</v>
      </c>
      <c r="C26" s="106"/>
      <c r="D26" s="107"/>
      <c r="E26" s="9">
        <v>326655</v>
      </c>
      <c r="F26" s="14" t="s">
        <v>3</v>
      </c>
      <c r="G26" s="1"/>
    </row>
    <row r="27" spans="1:7" x14ac:dyDescent="0.25">
      <c r="A27" s="1"/>
      <c r="B27" s="92" t="s">
        <v>187</v>
      </c>
      <c r="C27" s="93"/>
      <c r="D27" s="94"/>
      <c r="E27" s="10">
        <f>E24-(E25-E26)</f>
        <v>-240913.6062527895</v>
      </c>
      <c r="F27" s="17" t="s">
        <v>3</v>
      </c>
      <c r="G27" s="1"/>
    </row>
    <row r="28" spans="1:7" x14ac:dyDescent="0.25">
      <c r="A28" s="1"/>
      <c r="B28" s="40"/>
      <c r="C28" s="41"/>
      <c r="D28" s="41"/>
      <c r="E28" s="41"/>
      <c r="F28" s="22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02" t="s">
        <v>256</v>
      </c>
      <c r="C31" s="103"/>
      <c r="D31" s="103"/>
      <c r="E31" s="103"/>
      <c r="F31" s="104"/>
      <c r="G31" s="1"/>
    </row>
    <row r="32" spans="1:7" x14ac:dyDescent="0.25">
      <c r="A32" s="1"/>
      <c r="B32" s="92" t="s">
        <v>257</v>
      </c>
      <c r="C32" s="93"/>
      <c r="D32" s="94"/>
      <c r="E32" s="10">
        <f>IF(AND(E9&gt;0,E18&gt;0),E9/2,IF(AND(E9&gt;0,E18&lt;0,ABS(E9)&gt;ABS(E18)),(E9+E18)/2,IF(AND(E9&lt;0,E18&gt;0,ABS(E9)&gt;ABS(E18)),(E9+E18)/2,IF(AND(E9&gt;0,E18&lt;0,ABS(E9)&lt;ABS(E18)),(E9+E18)/2+IF(E27+E9+E18&gt;0,E27-(E27+E9+E18),IF(E27+E9+E18=0,E27,IF(AND(E27&gt;0,E27+E9+E18&lt;0),E27,0))),IF(AND(E9&lt;0,E18&lt;0),(E9+E18)/2+IF(E27+E9+E18&gt;0,E27-(E27+E9+E18),IF(E27+E9+E18=0,E27,IF(AND(E27&gt;0,E27+E9+E18&lt;0),E27,0))),0)))))</f>
        <v>182720.37000000011</v>
      </c>
      <c r="F32" s="17" t="s">
        <v>3</v>
      </c>
      <c r="G32" s="1"/>
    </row>
    <row r="33" spans="1:7" x14ac:dyDescent="0.25">
      <c r="A33" s="1"/>
      <c r="B33" s="102"/>
      <c r="C33" s="103"/>
      <c r="D33" s="103"/>
      <c r="E33" s="103"/>
      <c r="F33" s="104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02" t="s">
        <v>180</v>
      </c>
      <c r="C36" s="103"/>
      <c r="D36" s="103"/>
      <c r="E36" s="103"/>
      <c r="F36" s="104"/>
      <c r="G36" s="1"/>
    </row>
    <row r="37" spans="1:7" x14ac:dyDescent="0.25">
      <c r="A37" s="1"/>
      <c r="B37" s="113" t="s">
        <v>53</v>
      </c>
      <c r="C37" s="114"/>
      <c r="D37" s="115"/>
      <c r="E37" s="9">
        <f>IF(AND(E9&gt;0,E18&gt;0),IF(E18+E27&gt;=0,0,IF(E18+E27&lt;0,E18+E27,0)),IF(AND(E9&lt;0,E18&gt;0,ABS(E9)&lt;ABS(E18)),IF(E9+E18+E27&gt;=0,0,IF(E9+E18+E27&lt;0,E9+E18+E27,0)),IF(E27&gt;=0,0,E27)))</f>
        <v>0</v>
      </c>
      <c r="F37" s="14" t="s">
        <v>3</v>
      </c>
      <c r="G37" s="1"/>
    </row>
    <row r="38" spans="1:7" x14ac:dyDescent="0.25">
      <c r="A38" s="1"/>
      <c r="B38" s="113" t="s">
        <v>185</v>
      </c>
      <c r="C38" s="114"/>
      <c r="D38" s="115"/>
      <c r="E38" s="9">
        <v>2</v>
      </c>
      <c r="F38" s="14" t="s">
        <v>27</v>
      </c>
      <c r="G38" s="1"/>
    </row>
    <row r="39" spans="1:7" ht="15" customHeight="1" x14ac:dyDescent="0.25">
      <c r="A39" s="1"/>
      <c r="B39" s="92" t="s">
        <v>227</v>
      </c>
      <c r="C39" s="93"/>
      <c r="D39" s="94"/>
      <c r="E39" s="10">
        <f>E37/E38</f>
        <v>0</v>
      </c>
      <c r="F39" s="17" t="s">
        <v>3</v>
      </c>
      <c r="G39" s="1"/>
    </row>
    <row r="40" spans="1:7" x14ac:dyDescent="0.25">
      <c r="A40" s="1"/>
      <c r="B40" s="102"/>
      <c r="C40" s="103"/>
      <c r="D40" s="103"/>
      <c r="E40" s="103"/>
      <c r="F40" s="104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VyYrEQrW4SLUg9nmX4QIO8n8SaVK7bkfxpCKOhTwu6a9DvwSGfGNawosXrR8danLNn/C50I3KtpKjcsWTuUHng==" saltValue="2mGoHsOm90yDTkeASm4o6w==" spinCount="100000" sheet="1" objects="1" scenarios="1"/>
  <mergeCells count="25">
    <mergeCell ref="B40:F40"/>
    <mergeCell ref="B14:F14"/>
    <mergeCell ref="B15:D15"/>
    <mergeCell ref="B16:D16"/>
    <mergeCell ref="B11:F11"/>
    <mergeCell ref="B20:F20"/>
    <mergeCell ref="B31:F31"/>
    <mergeCell ref="B32:D32"/>
    <mergeCell ref="B33:F33"/>
    <mergeCell ref="B27:D27"/>
    <mergeCell ref="B36:F36"/>
    <mergeCell ref="B37:D37"/>
    <mergeCell ref="B38:D38"/>
    <mergeCell ref="B39:D39"/>
    <mergeCell ref="B3:F4"/>
    <mergeCell ref="B23:F23"/>
    <mergeCell ref="B24:D24"/>
    <mergeCell ref="B25:D25"/>
    <mergeCell ref="B26:D26"/>
    <mergeCell ref="B17:D17"/>
    <mergeCell ref="B18:D18"/>
    <mergeCell ref="B6:F6"/>
    <mergeCell ref="B7:D7"/>
    <mergeCell ref="B8:D8"/>
    <mergeCell ref="B9:D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140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8" t="s">
        <v>228</v>
      </c>
      <c r="C3" s="98"/>
      <c r="D3" s="98"/>
      <c r="E3" s="98"/>
      <c r="F3" s="98"/>
      <c r="G3" s="1"/>
    </row>
    <row r="4" spans="1:7" ht="15" customHeight="1" x14ac:dyDescent="0.25">
      <c r="A4" s="1"/>
      <c r="B4" s="98"/>
      <c r="C4" s="98"/>
      <c r="D4" s="98"/>
      <c r="E4" s="98"/>
      <c r="F4" s="9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02" t="s">
        <v>159</v>
      </c>
      <c r="C8" s="103"/>
      <c r="D8" s="103"/>
      <c r="E8" s="103"/>
      <c r="F8" s="103"/>
      <c r="G8" s="1"/>
    </row>
    <row r="9" spans="1:7" ht="29.25" customHeight="1" x14ac:dyDescent="0.25">
      <c r="A9" s="1"/>
      <c r="B9" s="87" t="s">
        <v>164</v>
      </c>
      <c r="C9" s="88"/>
      <c r="D9" s="89"/>
      <c r="E9" s="10">
        <f>IF((('Fane 3. Omkostninger i ØR2019'!E32+'Fane 3. Omkostninger i ØR2019'!E36)-('Fane 3. Omkostninger i ØR2019'!E32+'Fane 3. Omkostninger i ØR2019'!E36)/(1+'Fane 14. Nøgletal'!C11)^2)+IF('Fane 7. Kontrol af ØR2018'!E9*(1+'Fane 14. Nøgletal'!C10)&gt;0,(('Fane 7. Kontrol af ØR2018'!E9*(1+'Fane 14. Nøgletal'!C10)-'Fane 7. Kontrol af ØR2018'!E9*(1+'Fane 14. Nøgletal'!C10)/(1+'Fane 14. Nøgletal'!C10))/2),0)&lt;0,-((('Fane 3. Omkostninger i ØR2019'!E32+'Fane 3. Omkostninger i ØR2019'!E36)-('Fane 3. Omkostninger i ØR2019'!E32+'Fane 3. Omkostninger i ØR2019'!E36)/(1+'Fane 14. Nøgletal'!C11)^2)+('Fane 7. Kontrol af ØR2018'!E9*(1+'Fane 14. Nøgletal'!C10)-'Fane 7. Kontrol af ØR2018'!E9*(1+'Fane 14. Nøgletal'!C10)/(1+'Fane 14. Nøgletal'!C10))/2),0)</f>
        <v>0</v>
      </c>
      <c r="F9" s="11" t="s">
        <v>3</v>
      </c>
      <c r="G9" s="1"/>
    </row>
    <row r="10" spans="1:7" x14ac:dyDescent="0.25">
      <c r="A10" s="1"/>
      <c r="B10" s="40" t="s">
        <v>175</v>
      </c>
      <c r="C10" s="41"/>
      <c r="D10" s="41"/>
      <c r="E10" s="12">
        <f>E9</f>
        <v>0</v>
      </c>
      <c r="F10" s="13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7LWyrawDnpYQEdWafl81iWNMaSynPKxHOwKxYSZx/h5+KhYlF2iLnxeEyYK0zIQ7itv6p4yx4mLHGC0yczj/rA==" saltValue="0FMh+4rRppw/4Zw2VkDOig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9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229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02" t="s">
        <v>230</v>
      </c>
      <c r="C8" s="103"/>
      <c r="D8" s="103"/>
      <c r="E8" s="103"/>
      <c r="F8" s="103"/>
      <c r="G8" s="103"/>
      <c r="H8" s="104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46</v>
      </c>
      <c r="H9" s="43"/>
      <c r="I9" s="1"/>
    </row>
    <row r="10" spans="1:9" x14ac:dyDescent="0.25">
      <c r="A10" s="1"/>
      <c r="B10" s="119" t="s">
        <v>243</v>
      </c>
      <c r="C10" s="120">
        <v>75</v>
      </c>
      <c r="D10" s="9">
        <v>98946.43</v>
      </c>
      <c r="E10" s="9">
        <f>IFERROR(D10/C10,0)</f>
        <v>1319.2857333333332</v>
      </c>
      <c r="F10" s="9">
        <v>0</v>
      </c>
      <c r="G10" s="9">
        <v>0</v>
      </c>
      <c r="H10" s="14" t="s">
        <v>3</v>
      </c>
      <c r="I10" s="1"/>
    </row>
    <row r="11" spans="1:9" ht="26.25" x14ac:dyDescent="0.25">
      <c r="A11" s="1"/>
      <c r="B11" s="119" t="s">
        <v>244</v>
      </c>
      <c r="C11" s="120">
        <v>75</v>
      </c>
      <c r="D11" s="9">
        <v>2300214</v>
      </c>
      <c r="E11" s="9">
        <f t="shared" ref="E11:E21" si="0">IFERROR(D11/C11,0)</f>
        <v>30669.52</v>
      </c>
      <c r="F11" s="9">
        <v>0</v>
      </c>
      <c r="G11" s="9">
        <v>36653</v>
      </c>
      <c r="H11" s="14" t="s">
        <v>3</v>
      </c>
      <c r="I11" s="1"/>
    </row>
    <row r="12" spans="1:9" ht="26.25" x14ac:dyDescent="0.25">
      <c r="A12" s="1"/>
      <c r="B12" s="119" t="s">
        <v>245</v>
      </c>
      <c r="C12" s="120">
        <v>75</v>
      </c>
      <c r="D12" s="9">
        <v>1485567</v>
      </c>
      <c r="E12" s="9">
        <f t="shared" si="0"/>
        <v>19807.560000000001</v>
      </c>
      <c r="F12" s="9">
        <v>0</v>
      </c>
      <c r="G12" s="9">
        <v>23026</v>
      </c>
      <c r="H12" s="14" t="s">
        <v>3</v>
      </c>
      <c r="I12" s="1"/>
    </row>
    <row r="13" spans="1:9" ht="26.25" x14ac:dyDescent="0.25">
      <c r="A13" s="1"/>
      <c r="B13" s="119" t="s">
        <v>246</v>
      </c>
      <c r="C13" s="120">
        <v>75</v>
      </c>
      <c r="D13" s="9">
        <v>9794.35</v>
      </c>
      <c r="E13" s="9">
        <f t="shared" si="0"/>
        <v>130.59133333333332</v>
      </c>
      <c r="F13" s="9">
        <v>0</v>
      </c>
      <c r="G13" s="9">
        <v>0</v>
      </c>
      <c r="H13" s="14" t="s">
        <v>3</v>
      </c>
      <c r="I13" s="1"/>
    </row>
    <row r="14" spans="1:9" ht="26.25" x14ac:dyDescent="0.25">
      <c r="A14" s="1"/>
      <c r="B14" s="119" t="s">
        <v>247</v>
      </c>
      <c r="C14" s="120">
        <v>75</v>
      </c>
      <c r="D14" s="9">
        <v>938197.92</v>
      </c>
      <c r="E14" s="9">
        <f t="shared" si="0"/>
        <v>12509.3056</v>
      </c>
      <c r="F14" s="9">
        <v>0</v>
      </c>
      <c r="G14" s="9">
        <v>14542</v>
      </c>
      <c r="H14" s="14" t="s">
        <v>3</v>
      </c>
      <c r="I14" s="1"/>
    </row>
    <row r="15" spans="1:9" ht="26.25" x14ac:dyDescent="0.25">
      <c r="A15" s="1"/>
      <c r="B15" s="119" t="s">
        <v>246</v>
      </c>
      <c r="C15" s="120">
        <v>75</v>
      </c>
      <c r="D15" s="9">
        <v>938197.92</v>
      </c>
      <c r="E15" s="9">
        <f t="shared" si="0"/>
        <v>12509.3056</v>
      </c>
      <c r="F15" s="9">
        <v>0</v>
      </c>
      <c r="G15" s="9">
        <v>14542</v>
      </c>
      <c r="H15" s="14" t="s">
        <v>3</v>
      </c>
      <c r="I15" s="1"/>
    </row>
    <row r="16" spans="1:9" ht="26.25" x14ac:dyDescent="0.25">
      <c r="A16" s="1"/>
      <c r="B16" s="119" t="s">
        <v>248</v>
      </c>
      <c r="C16" s="120">
        <v>75</v>
      </c>
      <c r="D16" s="9">
        <v>166024</v>
      </c>
      <c r="E16" s="9">
        <f t="shared" ref="E16:E18" si="1">IFERROR(D16/C16,0)</f>
        <v>2213.6533333333332</v>
      </c>
      <c r="F16" s="9">
        <v>0</v>
      </c>
      <c r="G16" s="9">
        <v>2578</v>
      </c>
      <c r="H16" s="14" t="s">
        <v>3</v>
      </c>
      <c r="I16" s="1"/>
    </row>
    <row r="17" spans="1:9" x14ac:dyDescent="0.25">
      <c r="A17" s="1"/>
      <c r="B17" s="119" t="s">
        <v>249</v>
      </c>
      <c r="C17" s="120">
        <v>10</v>
      </c>
      <c r="D17" s="9">
        <v>31268</v>
      </c>
      <c r="E17" s="9">
        <f t="shared" si="1"/>
        <v>3126.8</v>
      </c>
      <c r="F17" s="9">
        <v>0</v>
      </c>
      <c r="G17" s="9">
        <v>0</v>
      </c>
      <c r="H17" s="14" t="s">
        <v>3</v>
      </c>
      <c r="I17" s="1"/>
    </row>
    <row r="18" spans="1:9" ht="39" x14ac:dyDescent="0.25">
      <c r="A18" s="1"/>
      <c r="B18" s="119" t="s">
        <v>250</v>
      </c>
      <c r="C18" s="120">
        <v>10</v>
      </c>
      <c r="D18" s="9">
        <v>129542.39</v>
      </c>
      <c r="E18" s="9">
        <f t="shared" si="1"/>
        <v>12954.239</v>
      </c>
      <c r="F18" s="9">
        <v>0</v>
      </c>
      <c r="G18" s="9">
        <v>0</v>
      </c>
      <c r="H18" s="14" t="s">
        <v>3</v>
      </c>
      <c r="I18" s="1"/>
    </row>
    <row r="19" spans="1:9" x14ac:dyDescent="0.25">
      <c r="A19" s="1"/>
      <c r="B19" s="119" t="s">
        <v>251</v>
      </c>
      <c r="C19" s="120">
        <v>5</v>
      </c>
      <c r="D19" s="9">
        <v>208062</v>
      </c>
      <c r="E19" s="9">
        <f t="shared" si="0"/>
        <v>41612.400000000001</v>
      </c>
      <c r="F19" s="9">
        <v>0</v>
      </c>
      <c r="G19" s="9">
        <v>0</v>
      </c>
      <c r="H19" s="14" t="s">
        <v>3</v>
      </c>
      <c r="I19" s="1"/>
    </row>
    <row r="20" spans="1:9" ht="26.25" x14ac:dyDescent="0.25">
      <c r="A20" s="1"/>
      <c r="B20" s="119" t="s">
        <v>252</v>
      </c>
      <c r="C20" s="120">
        <v>75</v>
      </c>
      <c r="D20" s="9">
        <v>53740</v>
      </c>
      <c r="E20" s="9">
        <f t="shared" si="0"/>
        <v>716.5333333333333</v>
      </c>
      <c r="F20" s="9">
        <v>0</v>
      </c>
      <c r="G20" s="9">
        <v>0</v>
      </c>
      <c r="H20" s="14" t="s">
        <v>3</v>
      </c>
      <c r="I20" s="1"/>
    </row>
    <row r="21" spans="1:9" ht="26.25" x14ac:dyDescent="0.25">
      <c r="A21" s="1"/>
      <c r="B21" s="119" t="s">
        <v>244</v>
      </c>
      <c r="C21" s="120">
        <v>75</v>
      </c>
      <c r="D21" s="9">
        <v>373239</v>
      </c>
      <c r="E21" s="9">
        <f t="shared" si="0"/>
        <v>4976.5200000000004</v>
      </c>
      <c r="F21" s="9">
        <v>0</v>
      </c>
      <c r="G21" s="9">
        <v>0</v>
      </c>
      <c r="H21" s="14" t="s">
        <v>3</v>
      </c>
      <c r="I21" s="1"/>
    </row>
    <row r="22" spans="1:9" ht="26.25" x14ac:dyDescent="0.25">
      <c r="A22" s="1"/>
      <c r="B22" s="119" t="s">
        <v>245</v>
      </c>
      <c r="C22" s="120">
        <v>75</v>
      </c>
      <c r="D22" s="9">
        <v>52997</v>
      </c>
      <c r="E22" s="9">
        <f t="shared" ref="E22:E23" si="2">IFERROR(D22/C22,0)</f>
        <v>706.62666666666667</v>
      </c>
      <c r="F22" s="9">
        <v>0</v>
      </c>
      <c r="G22" s="9">
        <v>0</v>
      </c>
      <c r="H22" s="14" t="s">
        <v>3</v>
      </c>
      <c r="I22" s="1"/>
    </row>
    <row r="23" spans="1:9" ht="26.25" x14ac:dyDescent="0.25">
      <c r="A23" s="1"/>
      <c r="B23" s="119" t="s">
        <v>244</v>
      </c>
      <c r="C23" s="120">
        <v>75</v>
      </c>
      <c r="D23" s="9">
        <v>74536</v>
      </c>
      <c r="E23" s="9">
        <f t="shared" si="2"/>
        <v>993.81333333333339</v>
      </c>
      <c r="F23" s="9">
        <v>0</v>
      </c>
      <c r="G23" s="9">
        <v>0</v>
      </c>
      <c r="H23" s="14" t="s">
        <v>3</v>
      </c>
      <c r="I23" s="1"/>
    </row>
    <row r="24" spans="1:9" x14ac:dyDescent="0.25">
      <c r="A24" s="1"/>
      <c r="B24" s="102" t="s">
        <v>231</v>
      </c>
      <c r="C24" s="103"/>
      <c r="D24" s="104"/>
      <c r="E24" s="12">
        <f>SUM(E10:E23)</f>
        <v>144246.15393333332</v>
      </c>
      <c r="F24" s="12">
        <f>SUM(F10:F23)</f>
        <v>0</v>
      </c>
      <c r="G24" s="12">
        <f>SUM(G10:G23)</f>
        <v>91341</v>
      </c>
      <c r="H24" s="13" t="s">
        <v>3</v>
      </c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</sheetData>
  <sheetProtection algorithmName="SHA-512" hashValue="rgaD61tT+dCJa5PIaCo1T7JYzYC+whZSwZqFMUP+6F5kxRov4NR7FBtIIzf656Wf35A9ZfnfbPGa9FrZpotllQ==" saltValue="7SA+b8O7s8ZxJmqd2BoBRw==" spinCount="100000" sheet="1" objects="1" scenarios="1"/>
  <mergeCells count="3">
    <mergeCell ref="B3:H4"/>
    <mergeCell ref="B24:D24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206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137</v>
      </c>
      <c r="C8" s="41"/>
      <c r="D8" s="41"/>
      <c r="E8" s="41"/>
      <c r="F8" s="22"/>
      <c r="G8" s="1"/>
    </row>
    <row r="9" spans="1:7" ht="17.25" customHeight="1" x14ac:dyDescent="0.25">
      <c r="A9" s="1"/>
      <c r="B9" s="47" t="s">
        <v>24</v>
      </c>
      <c r="C9" s="47" t="s">
        <v>16</v>
      </c>
      <c r="D9" s="48"/>
      <c r="E9" s="47" t="s">
        <v>47</v>
      </c>
      <c r="F9" s="43"/>
      <c r="G9" s="1"/>
    </row>
    <row r="10" spans="1:7" x14ac:dyDescent="0.25">
      <c r="A10" s="1"/>
      <c r="B10" s="27" t="s">
        <v>253</v>
      </c>
      <c r="C10" s="24">
        <f>'Fane 9. Anlægsprojekter'!F24</f>
        <v>0</v>
      </c>
      <c r="D10" s="14" t="s">
        <v>3</v>
      </c>
      <c r="E10" s="9">
        <f>SUM('Fane 9. Anlægsprojekter'!E24,'Fane 9. Anlægsprojekter'!G24)</f>
        <v>235587.15393333332</v>
      </c>
      <c r="F10" s="14" t="s">
        <v>3</v>
      </c>
      <c r="G10" s="1"/>
    </row>
    <row r="11" spans="1:7" x14ac:dyDescent="0.25">
      <c r="A11" s="1"/>
      <c r="B11" s="40" t="s">
        <v>63</v>
      </c>
      <c r="C11" s="12">
        <f>SUM(C10:C10)</f>
        <v>0</v>
      </c>
      <c r="D11" s="13" t="s">
        <v>3</v>
      </c>
      <c r="E11" s="12">
        <f>SUM(E10:E10)</f>
        <v>235587.15393333332</v>
      </c>
      <c r="F11" s="13" t="s">
        <v>3</v>
      </c>
      <c r="G11" s="1"/>
    </row>
    <row r="12" spans="1:7" x14ac:dyDescent="0.25">
      <c r="A12" s="1"/>
      <c r="B12" s="40" t="s">
        <v>74</v>
      </c>
      <c r="C12" s="12">
        <f>C11*(1+'Fane 14. Nøgletal'!C12)</f>
        <v>0</v>
      </c>
      <c r="D12" s="13" t="s">
        <v>3</v>
      </c>
      <c r="E12" s="12">
        <f>E11*(1+'Fane 14. Nøgletal'!C12)</f>
        <v>240228.22086582001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mUcqfcK8cNYuTbwhOkw0z7vSy7nDFxnhIRR54zwgZE219L+yp7tUSA55cW0Hif+PHQ+/PN0lFzKLt870s49gYA==" saltValue="Fjzo/k1zA/ucBTEDNS4bq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207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02" t="s">
        <v>168</v>
      </c>
      <c r="C8" s="103"/>
      <c r="D8" s="103"/>
      <c r="E8" s="103"/>
      <c r="F8" s="104"/>
      <c r="G8" s="1"/>
    </row>
    <row r="9" spans="1:7" x14ac:dyDescent="0.25">
      <c r="A9" s="1"/>
      <c r="B9" s="47" t="s">
        <v>24</v>
      </c>
      <c r="C9" s="47" t="s">
        <v>16</v>
      </c>
      <c r="D9" s="48"/>
      <c r="E9" s="47" t="s">
        <v>47</v>
      </c>
      <c r="F9" s="43"/>
      <c r="G9" s="1"/>
    </row>
    <row r="10" spans="1:7" x14ac:dyDescent="0.25">
      <c r="A10" s="1"/>
      <c r="B10" s="27" t="s">
        <v>241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172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krav'!G10</f>
        <v>0</v>
      </c>
      <c r="D12" s="31" t="s">
        <v>3</v>
      </c>
      <c r="E12" s="30">
        <f>-E11*'Fane 5. Individuelt eff. krav'!G10</f>
        <v>0</v>
      </c>
      <c r="F12" s="31" t="s">
        <v>3</v>
      </c>
      <c r="G12" s="1"/>
    </row>
    <row r="13" spans="1:7" x14ac:dyDescent="0.25">
      <c r="A13" s="1"/>
      <c r="B13" s="29" t="s">
        <v>176</v>
      </c>
      <c r="C13" s="30">
        <f>-C11*'Fane 14. Nøgletal'!C25</f>
        <v>0</v>
      </c>
      <c r="D13" s="31" t="s">
        <v>3</v>
      </c>
      <c r="E13" s="30">
        <f>-E11*'Fane 14. Nøgletal'!C20</f>
        <v>0</v>
      </c>
      <c r="F13" s="31" t="s">
        <v>3</v>
      </c>
      <c r="G13" s="1"/>
    </row>
    <row r="14" spans="1:7" x14ac:dyDescent="0.25">
      <c r="A14" s="1"/>
      <c r="B14" s="40" t="s">
        <v>173</v>
      </c>
      <c r="C14" s="12">
        <f>SUM(C11:C13)*(1+'Fane 14. Nøgletal'!C12)^2</f>
        <v>0</v>
      </c>
      <c r="D14" s="13" t="s">
        <v>3</v>
      </c>
      <c r="E14" s="12">
        <f>SUM(E11:E13)*(1+'Fane 14.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02" t="s">
        <v>169</v>
      </c>
      <c r="C16" s="103"/>
      <c r="D16" s="103"/>
      <c r="E16" s="103"/>
      <c r="F16" s="104"/>
      <c r="G16" s="1"/>
    </row>
    <row r="17" spans="1:7" x14ac:dyDescent="0.25">
      <c r="A17" s="1"/>
      <c r="B17" s="47" t="s">
        <v>24</v>
      </c>
      <c r="C17" s="47" t="s">
        <v>16</v>
      </c>
      <c r="D17" s="48"/>
      <c r="E17" s="47" t="s">
        <v>47</v>
      </c>
      <c r="F17" s="43"/>
      <c r="G17" s="1"/>
    </row>
    <row r="18" spans="1:7" x14ac:dyDescent="0.25">
      <c r="A18" s="1"/>
      <c r="B18" s="27" t="s">
        <v>241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0" t="s">
        <v>172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krav'!G10</f>
        <v>0</v>
      </c>
      <c r="D20" s="31" t="s">
        <v>3</v>
      </c>
      <c r="E20" s="30">
        <f>-E19*'Fane 5. Individuelt eff. krav'!G10</f>
        <v>0</v>
      </c>
      <c r="F20" s="31" t="s">
        <v>3</v>
      </c>
      <c r="G20" s="1"/>
    </row>
    <row r="21" spans="1:7" x14ac:dyDescent="0.25">
      <c r="A21" s="1"/>
      <c r="B21" s="29" t="s">
        <v>176</v>
      </c>
      <c r="C21" s="30">
        <f>-C19*'Fane 14. Nøgletal'!C25</f>
        <v>0</v>
      </c>
      <c r="D21" s="31" t="s">
        <v>3</v>
      </c>
      <c r="E21" s="30">
        <f>-E19*'Fane 14. Nøgletal'!C20</f>
        <v>0</v>
      </c>
      <c r="F21" s="31" t="s">
        <v>3</v>
      </c>
      <c r="G21" s="1"/>
    </row>
    <row r="22" spans="1:7" x14ac:dyDescent="0.25">
      <c r="A22" s="1"/>
      <c r="B22" s="40" t="s">
        <v>174</v>
      </c>
      <c r="C22" s="12">
        <f>SUM(C19:C21)*(1+'Fane 14. Nøgletal'!C12)^3</f>
        <v>0</v>
      </c>
      <c r="D22" s="13" t="s">
        <v>3</v>
      </c>
      <c r="E22" s="12">
        <f>SUM(E19:E21)*(1+'Fane 14.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02" t="s">
        <v>170</v>
      </c>
      <c r="C24" s="103"/>
      <c r="D24" s="103"/>
      <c r="E24" s="103"/>
      <c r="F24" s="104"/>
      <c r="G24" s="1"/>
    </row>
    <row r="25" spans="1:7" x14ac:dyDescent="0.25">
      <c r="A25" s="1"/>
      <c r="B25" s="47" t="s">
        <v>24</v>
      </c>
      <c r="C25" s="47" t="s">
        <v>16</v>
      </c>
      <c r="D25" s="48"/>
      <c r="E25" s="47" t="s">
        <v>47</v>
      </c>
      <c r="F25" s="43"/>
      <c r="G25" s="1"/>
    </row>
    <row r="26" spans="1:7" x14ac:dyDescent="0.25">
      <c r="A26" s="1"/>
      <c r="B26" s="27" t="s">
        <v>241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0" t="s">
        <v>172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krav'!G10</f>
        <v>0</v>
      </c>
      <c r="D28" s="31" t="s">
        <v>3</v>
      </c>
      <c r="E28" s="30">
        <f>-E27*'Fane 5. Individuelt eff. krav'!G10</f>
        <v>0</v>
      </c>
      <c r="F28" s="31" t="s">
        <v>3</v>
      </c>
      <c r="G28" s="1"/>
    </row>
    <row r="29" spans="1:7" x14ac:dyDescent="0.25">
      <c r="A29" s="1"/>
      <c r="B29" s="29" t="s">
        <v>176</v>
      </c>
      <c r="C29" s="30">
        <f>-C27*'Fane 14. Nøgletal'!C25</f>
        <v>0</v>
      </c>
      <c r="D29" s="31" t="s">
        <v>3</v>
      </c>
      <c r="E29" s="30">
        <f>-E27*'Fane 14. Nøgletal'!C20</f>
        <v>0</v>
      </c>
      <c r="F29" s="31" t="s">
        <v>3</v>
      </c>
      <c r="G29" s="1"/>
    </row>
    <row r="30" spans="1:7" x14ac:dyDescent="0.25">
      <c r="A30" s="1"/>
      <c r="B30" s="40" t="s">
        <v>174</v>
      </c>
      <c r="C30" s="12">
        <f>SUM(C27:C29)*(1+'Fane 14. Nøgletal'!C12)^4</f>
        <v>0</v>
      </c>
      <c r="D30" s="13" t="s">
        <v>3</v>
      </c>
      <c r="E30" s="12">
        <f>SUM(E27:E29)*(1+'Fane 14.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02" t="s">
        <v>171</v>
      </c>
      <c r="C32" s="103"/>
      <c r="D32" s="103"/>
      <c r="E32" s="103"/>
      <c r="F32" s="104"/>
      <c r="G32" s="1"/>
    </row>
    <row r="33" spans="1:7" x14ac:dyDescent="0.25">
      <c r="A33" s="1"/>
      <c r="B33" s="47" t="s">
        <v>24</v>
      </c>
      <c r="C33" s="47" t="s">
        <v>16</v>
      </c>
      <c r="D33" s="48"/>
      <c r="E33" s="47" t="s">
        <v>47</v>
      </c>
      <c r="F33" s="43"/>
      <c r="G33" s="1"/>
    </row>
    <row r="34" spans="1:7" x14ac:dyDescent="0.25">
      <c r="A34" s="1"/>
      <c r="B34" s="27" t="s">
        <v>241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0" t="s">
        <v>172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krav'!G10</f>
        <v>0</v>
      </c>
      <c r="D36" s="31" t="s">
        <v>3</v>
      </c>
      <c r="E36" s="30">
        <f>-E35*'Fane 5. Individuelt eff. krav'!G10</f>
        <v>0</v>
      </c>
      <c r="F36" s="31" t="s">
        <v>3</v>
      </c>
      <c r="G36" s="1"/>
    </row>
    <row r="37" spans="1:7" x14ac:dyDescent="0.25">
      <c r="A37" s="1"/>
      <c r="B37" s="29" t="s">
        <v>176</v>
      </c>
      <c r="C37" s="30">
        <f>-C35*'Fane 14. Nøgletal'!C25</f>
        <v>0</v>
      </c>
      <c r="D37" s="31" t="s">
        <v>3</v>
      </c>
      <c r="E37" s="30">
        <f>-E35*'Fane 14. Nøgletal'!C20</f>
        <v>0</v>
      </c>
      <c r="F37" s="31" t="s">
        <v>3</v>
      </c>
      <c r="G37" s="1"/>
    </row>
    <row r="38" spans="1:7" x14ac:dyDescent="0.25">
      <c r="A38" s="1"/>
      <c r="B38" s="40" t="s">
        <v>174</v>
      </c>
      <c r="C38" s="12">
        <f>SUM(C35:C37)*(1+'Fane 14. Nøgletal'!C12)^5</f>
        <v>0</v>
      </c>
      <c r="D38" s="13" t="s">
        <v>3</v>
      </c>
      <c r="E38" s="12">
        <f>SUM(E35:E37)*(1+'Fane 14.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DDQqzxVejYJSmQZTxzUANtqB1PovB6JhNiZp2z2JYPv9UhyCrvxucsbFzfBBLQNtHkdJUCaqr7j8jLrZb4a3Sw==" saltValue="0u3MSS8BRItqFlTIf0+Yv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8" t="s">
        <v>208</v>
      </c>
      <c r="C3" s="98"/>
      <c r="D3" s="98"/>
      <c r="E3" s="98"/>
      <c r="F3" s="98"/>
      <c r="G3" s="1"/>
    </row>
    <row r="4" spans="1:7" ht="25.5" customHeight="1" x14ac:dyDescent="0.25">
      <c r="A4" s="1"/>
      <c r="B4" s="98"/>
      <c r="C4" s="98"/>
      <c r="D4" s="98"/>
      <c r="E4" s="98"/>
      <c r="F4" s="9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02" t="s">
        <v>31</v>
      </c>
      <c r="C8" s="103"/>
      <c r="D8" s="103"/>
      <c r="E8" s="103"/>
      <c r="F8" s="104"/>
      <c r="G8" s="1"/>
    </row>
    <row r="9" spans="1:7" ht="15" customHeight="1" x14ac:dyDescent="0.25">
      <c r="A9" s="1"/>
      <c r="B9" s="42" t="s">
        <v>32</v>
      </c>
      <c r="C9" s="87" t="s">
        <v>16</v>
      </c>
      <c r="D9" s="89"/>
      <c r="E9" s="87" t="s">
        <v>47</v>
      </c>
      <c r="F9" s="89"/>
      <c r="G9" s="1"/>
    </row>
    <row r="10" spans="1:7" x14ac:dyDescent="0.25">
      <c r="A10" s="1"/>
      <c r="B10" s="27" t="s">
        <v>232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76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7xu3Oi9zEvBXvZIofDyvmVTpr/e4XQvGvqThnvakHJVgCkQP3DDZH20MB6feuDSmu7k7IID4zaaU2/BH16iFqw==" saltValue="7zN10DodquU1qaym4HvM8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8" t="s">
        <v>209</v>
      </c>
      <c r="C3" s="98"/>
      <c r="D3" s="98"/>
      <c r="E3" s="98"/>
      <c r="F3" s="98"/>
      <c r="G3" s="1"/>
    </row>
    <row r="4" spans="1:7" ht="25.5" customHeight="1" x14ac:dyDescent="0.25">
      <c r="A4" s="1"/>
      <c r="B4" s="98"/>
      <c r="C4" s="98"/>
      <c r="D4" s="98"/>
      <c r="E4" s="98"/>
      <c r="F4" s="9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02" t="s">
        <v>156</v>
      </c>
      <c r="C8" s="103"/>
      <c r="D8" s="103"/>
      <c r="E8" s="103"/>
      <c r="F8" s="104"/>
      <c r="G8" s="1"/>
    </row>
    <row r="9" spans="1:7" ht="15" customHeight="1" x14ac:dyDescent="0.25">
      <c r="A9" s="1"/>
      <c r="B9" s="42" t="s">
        <v>25</v>
      </c>
      <c r="C9" s="42" t="s">
        <v>16</v>
      </c>
      <c r="D9" s="43"/>
      <c r="E9" s="42" t="s">
        <v>47</v>
      </c>
      <c r="F9" s="43"/>
      <c r="G9" s="1"/>
    </row>
    <row r="10" spans="1:7" x14ac:dyDescent="0.25">
      <c r="A10" s="1"/>
      <c r="B10" s="27" t="s">
        <v>233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64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0" t="s">
        <v>75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02" t="s">
        <v>157</v>
      </c>
      <c r="C15" s="103"/>
      <c r="D15" s="103"/>
      <c r="E15" s="103"/>
      <c r="F15" s="104"/>
      <c r="G15" s="1"/>
    </row>
    <row r="16" spans="1:7" ht="26.25" x14ac:dyDescent="0.25">
      <c r="A16" s="1"/>
      <c r="B16" s="42" t="s">
        <v>25</v>
      </c>
      <c r="C16" s="42" t="s">
        <v>16</v>
      </c>
      <c r="D16" s="43"/>
      <c r="E16" s="42" t="s">
        <v>47</v>
      </c>
      <c r="F16" s="43"/>
      <c r="G16" s="1"/>
    </row>
    <row r="17" spans="1:7" x14ac:dyDescent="0.25">
      <c r="A17" s="1"/>
      <c r="B17" s="27" t="s">
        <v>233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40" t="s">
        <v>64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40" t="s">
        <v>148</v>
      </c>
      <c r="C19" s="12">
        <f>C18*(1+'Fane 14. Nøgletal'!C12)^2</f>
        <v>0</v>
      </c>
      <c r="D19" s="13" t="s">
        <v>3</v>
      </c>
      <c r="E19" s="12">
        <f>E18*(1+'Fane 14. Nøgletal'!C12)^2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02" t="s">
        <v>155</v>
      </c>
      <c r="C22" s="103"/>
      <c r="D22" s="103"/>
      <c r="E22" s="103"/>
      <c r="F22" s="104"/>
      <c r="G22" s="1"/>
    </row>
    <row r="23" spans="1:7" ht="26.25" x14ac:dyDescent="0.25">
      <c r="A23" s="1"/>
      <c r="B23" s="42" t="s">
        <v>25</v>
      </c>
      <c r="C23" s="42" t="s">
        <v>16</v>
      </c>
      <c r="D23" s="43"/>
      <c r="E23" s="42" t="s">
        <v>47</v>
      </c>
      <c r="F23" s="43"/>
      <c r="G23" s="1"/>
    </row>
    <row r="24" spans="1:7" x14ac:dyDescent="0.25">
      <c r="A24" s="1"/>
      <c r="B24" s="27" t="s">
        <v>233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40" t="s">
        <v>64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40" t="s">
        <v>149</v>
      </c>
      <c r="C26" s="12">
        <f>C25*(1+'Fane 14. Nøgletal'!C12)^3</f>
        <v>0</v>
      </c>
      <c r="D26" s="13" t="s">
        <v>3</v>
      </c>
      <c r="E26" s="12">
        <f>E25*(1+'Fane 14. Nøgletal'!C12)^3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02" t="s">
        <v>158</v>
      </c>
      <c r="C29" s="103"/>
      <c r="D29" s="103"/>
      <c r="E29" s="103"/>
      <c r="F29" s="104"/>
      <c r="G29" s="1"/>
    </row>
    <row r="30" spans="1:7" ht="26.25" x14ac:dyDescent="0.25">
      <c r="A30" s="1"/>
      <c r="B30" s="42" t="s">
        <v>25</v>
      </c>
      <c r="C30" s="42" t="s">
        <v>16</v>
      </c>
      <c r="D30" s="43"/>
      <c r="E30" s="42" t="s">
        <v>47</v>
      </c>
      <c r="F30" s="43"/>
      <c r="G30" s="1"/>
    </row>
    <row r="31" spans="1:7" x14ac:dyDescent="0.25">
      <c r="A31" s="1"/>
      <c r="B31" s="27" t="s">
        <v>233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40" t="s">
        <v>64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40" t="s">
        <v>150</v>
      </c>
      <c r="C33" s="12">
        <f>C32*(1+'Fane 14. Nøgletal'!C12)^4</f>
        <v>0</v>
      </c>
      <c r="D33" s="13" t="s">
        <v>3</v>
      </c>
      <c r="E33" s="12">
        <f>E32*(1+'Fane 14. Nøgletal'!C12)^4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X74+dxswFABoKaUZXyjdBUKsOws1jQY1hJwpv3wfrOCuKkZf3jb6jm70R5NSwpYQvLH/agv57zcOKFy+6Ep1Mg==" saltValue="VyAvmqUEu12UyT5OkVzCK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210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02" t="s">
        <v>18</v>
      </c>
      <c r="C8" s="103"/>
      <c r="D8" s="103"/>
      <c r="E8" s="103"/>
      <c r="F8" s="103"/>
      <c r="G8" s="103"/>
      <c r="H8" s="104"/>
      <c r="I8" s="1"/>
    </row>
    <row r="9" spans="1:9" x14ac:dyDescent="0.25">
      <c r="A9" s="1"/>
      <c r="B9" s="105" t="s">
        <v>12</v>
      </c>
      <c r="C9" s="106"/>
      <c r="D9" s="106"/>
      <c r="E9" s="106"/>
      <c r="F9" s="107"/>
      <c r="G9" s="9">
        <v>8540861</v>
      </c>
      <c r="H9" s="14" t="s">
        <v>3</v>
      </c>
      <c r="I9" s="1"/>
    </row>
    <row r="10" spans="1:9" x14ac:dyDescent="0.25">
      <c r="A10" s="1"/>
      <c r="B10" s="105" t="s">
        <v>135</v>
      </c>
      <c r="C10" s="106"/>
      <c r="D10" s="106"/>
      <c r="E10" s="106"/>
      <c r="F10" s="107"/>
      <c r="G10" s="9">
        <v>0</v>
      </c>
      <c r="H10" s="14" t="s">
        <v>3</v>
      </c>
      <c r="I10" s="1"/>
    </row>
    <row r="11" spans="1:9" x14ac:dyDescent="0.25">
      <c r="A11" s="1"/>
      <c r="B11" s="105" t="s">
        <v>80</v>
      </c>
      <c r="C11" s="106"/>
      <c r="D11" s="106"/>
      <c r="E11" s="106"/>
      <c r="F11" s="107"/>
      <c r="G11" s="9">
        <v>-8540861</v>
      </c>
      <c r="H11" s="14" t="s">
        <v>3</v>
      </c>
      <c r="I11" s="1"/>
    </row>
    <row r="12" spans="1:9" x14ac:dyDescent="0.25">
      <c r="A12" s="1"/>
      <c r="B12" s="116" t="s">
        <v>15</v>
      </c>
      <c r="C12" s="117"/>
      <c r="D12" s="117"/>
      <c r="E12" s="117"/>
      <c r="F12" s="118"/>
      <c r="G12" s="19">
        <f>(G9+G10)+G11</f>
        <v>0</v>
      </c>
      <c r="H12" s="18" t="s">
        <v>3</v>
      </c>
      <c r="I12" s="1"/>
    </row>
    <row r="13" spans="1:9" x14ac:dyDescent="0.25">
      <c r="A13" s="1"/>
      <c r="B13" s="105" t="s">
        <v>13</v>
      </c>
      <c r="C13" s="106"/>
      <c r="D13" s="106"/>
      <c r="E13" s="106"/>
      <c r="F13" s="107"/>
      <c r="G13" s="9">
        <v>0</v>
      </c>
      <c r="H13" s="14" t="s">
        <v>27</v>
      </c>
      <c r="I13" s="1"/>
    </row>
    <row r="14" spans="1:9" x14ac:dyDescent="0.25">
      <c r="A14" s="1"/>
      <c r="B14" s="102" t="s">
        <v>136</v>
      </c>
      <c r="C14" s="103"/>
      <c r="D14" s="103"/>
      <c r="E14" s="103"/>
      <c r="F14" s="104"/>
      <c r="G14" s="12">
        <f>IF(G13 = 0,0,-G12/G13)</f>
        <v>0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yyNmcX+RvBL6aXWyEGNYo3YFSeWil/UnL8Fil17mKyMV1Nv0sjy8yzTR5s5jM2+xhzuc+1LZF3JPo/MgKnDuVw==" saltValue="vLfHWety1TgVRfbp6lvIVg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0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8" t="s">
        <v>54</v>
      </c>
      <c r="C3" s="98"/>
      <c r="D3" s="1"/>
    </row>
    <row r="4" spans="1:4" ht="25.5" customHeight="1" x14ac:dyDescent="0.25">
      <c r="A4" s="1"/>
      <c r="B4" s="98"/>
      <c r="C4" s="98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0" t="s">
        <v>21</v>
      </c>
      <c r="C8" s="22"/>
      <c r="D8" s="1"/>
    </row>
    <row r="9" spans="1:4" x14ac:dyDescent="0.25">
      <c r="A9" s="1"/>
      <c r="B9" s="50" t="s">
        <v>211</v>
      </c>
      <c r="C9" s="28">
        <v>1.2699999999999999E-2</v>
      </c>
      <c r="D9" s="1"/>
    </row>
    <row r="10" spans="1:4" x14ac:dyDescent="0.25">
      <c r="A10" s="1"/>
      <c r="B10" s="50" t="s">
        <v>30</v>
      </c>
      <c r="C10" s="28">
        <v>1.7500000000000002E-2</v>
      </c>
      <c r="D10" s="1"/>
    </row>
    <row r="11" spans="1:4" x14ac:dyDescent="0.25">
      <c r="A11" s="1"/>
      <c r="B11" s="50" t="s">
        <v>212</v>
      </c>
      <c r="C11" s="28">
        <v>1.6899999999999998E-2</v>
      </c>
      <c r="D11" s="1"/>
    </row>
    <row r="12" spans="1:4" x14ac:dyDescent="0.25">
      <c r="A12" s="1"/>
      <c r="B12" s="35" t="s">
        <v>73</v>
      </c>
      <c r="C12" s="36">
        <v>1.9699999999999999E-2</v>
      </c>
      <c r="D12" s="1"/>
    </row>
    <row r="13" spans="1:4" x14ac:dyDescent="0.25">
      <c r="A13" s="1"/>
      <c r="B13" s="102"/>
      <c r="C13" s="104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0" t="s">
        <v>181</v>
      </c>
      <c r="C16" s="22"/>
      <c r="D16" s="1"/>
    </row>
    <row r="17" spans="1:4" x14ac:dyDescent="0.25">
      <c r="A17" s="1"/>
      <c r="B17" s="50" t="s">
        <v>213</v>
      </c>
      <c r="C17" s="25">
        <v>9.1000000000000004E-3</v>
      </c>
      <c r="D17" s="1"/>
    </row>
    <row r="18" spans="1:4" x14ac:dyDescent="0.25">
      <c r="A18" s="1"/>
      <c r="B18" s="50" t="s">
        <v>214</v>
      </c>
      <c r="C18" s="25">
        <v>1.77E-2</v>
      </c>
      <c r="D18" s="1"/>
    </row>
    <row r="19" spans="1:4" x14ac:dyDescent="0.25">
      <c r="A19" s="1"/>
      <c r="B19" s="50" t="s">
        <v>215</v>
      </c>
      <c r="C19" s="25">
        <v>8.6999999999999994E-3</v>
      </c>
      <c r="D19" s="1"/>
    </row>
    <row r="20" spans="1:4" x14ac:dyDescent="0.25">
      <c r="A20" s="1"/>
      <c r="B20" s="50" t="s">
        <v>216</v>
      </c>
      <c r="C20" s="37">
        <v>2.8400000000000002E-2</v>
      </c>
      <c r="D20" s="1"/>
    </row>
    <row r="21" spans="1:4" x14ac:dyDescent="0.25">
      <c r="A21" s="1"/>
      <c r="B21" s="40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0" t="s">
        <v>182</v>
      </c>
      <c r="C24" s="22"/>
      <c r="D24" s="1"/>
    </row>
    <row r="25" spans="1:4" x14ac:dyDescent="0.25">
      <c r="A25" s="1"/>
      <c r="B25" s="50" t="s">
        <v>217</v>
      </c>
      <c r="C25" s="28">
        <v>0.02</v>
      </c>
      <c r="D25" s="1"/>
    </row>
    <row r="26" spans="1:4" x14ac:dyDescent="0.25">
      <c r="A26" s="1"/>
      <c r="B26" s="40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</sheetData>
  <sheetProtection algorithmName="SHA-512" hashValue="vYfvYb1pQHjsr/QCcu4b9wD9LcV/hfJMcvn/oDsZuGMd5m+SAKVSlvMTnsk2ZVeQ7Qx+rniJHpTRj0Mpmo5Gng==" saltValue="Umg4yolDVqPcS0C0dTvY6w==" spinCount="100000" sheet="1" objects="1" scenarios="1"/>
  <mergeCells count="2">
    <mergeCell ref="B3:C4"/>
    <mergeCell ref="B13:C13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52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65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41"/>
      <c r="D8" s="22"/>
      <c r="E8" s="1"/>
    </row>
    <row r="9" spans="1:5" x14ac:dyDescent="0.25">
      <c r="A9" s="1"/>
      <c r="B9" s="45" t="s">
        <v>34</v>
      </c>
      <c r="C9" s="7">
        <f>'Fane 3. Omkostninger i ØR2019'!E23</f>
        <v>27570077.079337865</v>
      </c>
      <c r="D9" s="8" t="s">
        <v>3</v>
      </c>
      <c r="E9" s="1"/>
    </row>
    <row r="10" spans="1:5" x14ac:dyDescent="0.25">
      <c r="A10" s="1"/>
      <c r="B10" s="45" t="s">
        <v>235</v>
      </c>
      <c r="C10" s="7">
        <v>18202</v>
      </c>
      <c r="D10" s="8" t="s">
        <v>3</v>
      </c>
      <c r="E10" s="1"/>
    </row>
    <row r="11" spans="1:5" ht="17.100000000000001" customHeight="1" x14ac:dyDescent="0.25">
      <c r="A11" s="1"/>
      <c r="B11" s="32" t="s">
        <v>67</v>
      </c>
      <c r="C11" s="7">
        <f>'Fane 10.1. Varige tillæg'!C12</f>
        <v>0</v>
      </c>
      <c r="D11" s="8" t="s">
        <v>3</v>
      </c>
      <c r="E11" s="1"/>
    </row>
    <row r="12" spans="1:5" ht="17.100000000000001" customHeight="1" x14ac:dyDescent="0.25">
      <c r="A12" s="1"/>
      <c r="B12" s="32" t="s">
        <v>68</v>
      </c>
      <c r="C12" s="9">
        <f>'Fane 10.1. Varige tillæg'!E12</f>
        <v>240228.22086582001</v>
      </c>
      <c r="D12" s="8" t="s">
        <v>3</v>
      </c>
      <c r="E12" s="1"/>
    </row>
    <row r="13" spans="1:5" ht="17.100000000000001" customHeight="1" x14ac:dyDescent="0.25">
      <c r="A13" s="1"/>
      <c r="B13" s="32" t="s">
        <v>41</v>
      </c>
      <c r="C13" s="9">
        <f>-'Fane 12. Bortfald'!C12</f>
        <v>0</v>
      </c>
      <c r="D13" s="8" t="s">
        <v>3</v>
      </c>
      <c r="E13" s="1"/>
    </row>
    <row r="14" spans="1:5" ht="17.100000000000001" customHeight="1" x14ac:dyDescent="0.25">
      <c r="A14" s="1"/>
      <c r="B14" s="32" t="s">
        <v>40</v>
      </c>
      <c r="C14" s="9">
        <f>-'Fane 12. Bortfald'!E12</f>
        <v>0</v>
      </c>
      <c r="D14" s="8" t="s">
        <v>3</v>
      </c>
      <c r="E14" s="1"/>
    </row>
    <row r="15" spans="1:5" ht="17.100000000000001" customHeight="1" x14ac:dyDescent="0.25">
      <c r="A15" s="1"/>
      <c r="B15" s="32" t="s">
        <v>43</v>
      </c>
      <c r="C15" s="9">
        <f>'Fane 11. Tilknyttet aktivitet'!C12</f>
        <v>0</v>
      </c>
      <c r="D15" s="8" t="s">
        <v>3</v>
      </c>
      <c r="E15" s="1"/>
    </row>
    <row r="16" spans="1:5" ht="17.100000000000001" customHeight="1" x14ac:dyDescent="0.25">
      <c r="A16" s="1"/>
      <c r="B16" s="32" t="s">
        <v>42</v>
      </c>
      <c r="C16" s="9">
        <f>'Fane 11. Tilknyttet aktivitet'!E12</f>
        <v>0</v>
      </c>
      <c r="D16" s="8" t="s">
        <v>3</v>
      </c>
      <c r="E16" s="1"/>
    </row>
    <row r="17" spans="1:5" ht="17.100000000000001" customHeight="1" x14ac:dyDescent="0.25">
      <c r="A17" s="1"/>
      <c r="B17" s="32" t="s">
        <v>26</v>
      </c>
      <c r="C17" s="9">
        <f>SUM(C9:C10)*'Fane 14. Nøgletal'!C11+SUM(C11:C16)*'Fane 14. Nøgletal'!C12</f>
        <v>470974.41239186656</v>
      </c>
      <c r="D17" s="8" t="s">
        <v>3</v>
      </c>
      <c r="E17" s="1"/>
    </row>
    <row r="18" spans="1:5" ht="17.100000000000001" customHeight="1" x14ac:dyDescent="0.25">
      <c r="A18" s="1"/>
      <c r="B18" s="32" t="s">
        <v>10</v>
      </c>
      <c r="C18" s="9">
        <f>-SUM(C9:C17)*'Fane 5. Individuelt eff. krav'!G10</f>
        <v>-242545.14025582696</v>
      </c>
      <c r="D18" s="8" t="s">
        <v>3</v>
      </c>
      <c r="E18" s="1"/>
    </row>
    <row r="19" spans="1:5" ht="17.100000000000001" customHeight="1" x14ac:dyDescent="0.25">
      <c r="A19" s="1"/>
      <c r="B19" s="32" t="s">
        <v>38</v>
      </c>
      <c r="C19" s="9">
        <f>-'Fane 4.1. Gen. krav - drift'!G26</f>
        <v>-221258.59472863851</v>
      </c>
      <c r="D19" s="8" t="s">
        <v>3</v>
      </c>
      <c r="E19" s="1"/>
    </row>
    <row r="20" spans="1:5" ht="17.100000000000001" customHeight="1" x14ac:dyDescent="0.25">
      <c r="A20" s="1"/>
      <c r="B20" s="32" t="s">
        <v>39</v>
      </c>
      <c r="C20" s="9">
        <f>-'Fane 4.2. Gen. krav - anlæg'!G25</f>
        <v>-165901.38162873455</v>
      </c>
      <c r="D20" s="8" t="s">
        <v>3</v>
      </c>
      <c r="E20" s="1"/>
    </row>
    <row r="21" spans="1:5" ht="17.100000000000001" customHeight="1" x14ac:dyDescent="0.25">
      <c r="A21" s="1"/>
      <c r="B21" s="49" t="s">
        <v>28</v>
      </c>
      <c r="C21" s="10">
        <f>SUM(C9:C20)</f>
        <v>27669776.595982354</v>
      </c>
      <c r="D21" s="11" t="s">
        <v>3</v>
      </c>
      <c r="E21" s="1"/>
    </row>
    <row r="22" spans="1:5" ht="15" customHeight="1" x14ac:dyDescent="0.25">
      <c r="A22" s="1"/>
      <c r="B22" s="40" t="s">
        <v>17</v>
      </c>
      <c r="C22" s="41"/>
      <c r="D22" s="22"/>
      <c r="E22" s="1"/>
    </row>
    <row r="23" spans="1:5" ht="15" customHeight="1" x14ac:dyDescent="0.25">
      <c r="A23" s="1"/>
      <c r="B23" s="42" t="s">
        <v>17</v>
      </c>
      <c r="C23" s="10">
        <f>'Fane 6. Ikke-påvirkelige omk.'!C16</f>
        <v>31172614.025667842</v>
      </c>
      <c r="D23" s="11" t="s">
        <v>3</v>
      </c>
      <c r="E23" s="1"/>
    </row>
    <row r="24" spans="1:5" ht="15" customHeight="1" x14ac:dyDescent="0.25">
      <c r="A24" s="1"/>
      <c r="B24" s="40" t="s">
        <v>142</v>
      </c>
      <c r="C24" s="41"/>
      <c r="D24" s="22"/>
      <c r="E24" s="1"/>
    </row>
    <row r="25" spans="1:5" ht="15" customHeight="1" x14ac:dyDescent="0.25">
      <c r="A25" s="1"/>
      <c r="B25" s="32" t="s">
        <v>138</v>
      </c>
      <c r="C25" s="9">
        <f>'Fane 10.2. Engangstillæg'!C14</f>
        <v>0</v>
      </c>
      <c r="D25" s="8" t="s">
        <v>3</v>
      </c>
      <c r="E25" s="1"/>
    </row>
    <row r="26" spans="1:5" ht="15" customHeight="1" x14ac:dyDescent="0.25">
      <c r="A26" s="1"/>
      <c r="B26" s="32" t="s">
        <v>139</v>
      </c>
      <c r="C26" s="9">
        <f>'Fane 10.2. Engangstillæg'!E14</f>
        <v>0</v>
      </c>
      <c r="D26" s="8" t="s">
        <v>3</v>
      </c>
      <c r="E26" s="1"/>
    </row>
    <row r="27" spans="1:5" x14ac:dyDescent="0.25">
      <c r="A27" s="1"/>
      <c r="B27" s="49" t="s">
        <v>143</v>
      </c>
      <c r="C27" s="10">
        <f>SUM(C25:C26)</f>
        <v>0</v>
      </c>
      <c r="D27" s="11" t="s">
        <v>3</v>
      </c>
      <c r="E27" s="1"/>
    </row>
    <row r="28" spans="1:5" x14ac:dyDescent="0.25">
      <c r="A28" s="1"/>
      <c r="B28" s="40" t="s">
        <v>11</v>
      </c>
      <c r="C28" s="41"/>
      <c r="D28" s="22"/>
      <c r="E28" s="1"/>
    </row>
    <row r="29" spans="1:5" ht="15" customHeight="1" x14ac:dyDescent="0.25">
      <c r="A29" s="1"/>
      <c r="B29" s="42" t="s">
        <v>19</v>
      </c>
      <c r="C29" s="10">
        <f>'Fane 13. Hist. over-underdæk.'!G14</f>
        <v>0</v>
      </c>
      <c r="D29" s="11" t="s">
        <v>3</v>
      </c>
      <c r="E29" s="1"/>
    </row>
    <row r="30" spans="1:5" ht="15" customHeight="1" x14ac:dyDescent="0.25">
      <c r="A30" s="1"/>
      <c r="B30" s="40" t="s">
        <v>53</v>
      </c>
      <c r="C30" s="41"/>
      <c r="D30" s="22"/>
      <c r="E30" s="1"/>
    </row>
    <row r="31" spans="1:5" x14ac:dyDescent="0.25">
      <c r="A31" s="1"/>
      <c r="B31" s="42" t="s">
        <v>218</v>
      </c>
      <c r="C31" s="10">
        <f>'Fane 7. Kontrol af ØR2018'!E32</f>
        <v>182720.37000000011</v>
      </c>
      <c r="D31" s="11" t="s">
        <v>3</v>
      </c>
      <c r="E31" s="1"/>
    </row>
    <row r="32" spans="1:5" x14ac:dyDescent="0.25">
      <c r="A32" s="1"/>
      <c r="B32" s="40" t="s">
        <v>225</v>
      </c>
      <c r="C32" s="41"/>
      <c r="D32" s="22"/>
      <c r="E32" s="1"/>
    </row>
    <row r="33" spans="1:5" x14ac:dyDescent="0.25">
      <c r="A33" s="1"/>
      <c r="B33" s="42" t="s">
        <v>226</v>
      </c>
      <c r="C33" s="10">
        <f>'Fane 8. Korrektioner'!E10</f>
        <v>0</v>
      </c>
      <c r="D33" s="11" t="s">
        <v>3</v>
      </c>
      <c r="E33" s="1"/>
    </row>
    <row r="34" spans="1:5" x14ac:dyDescent="0.25">
      <c r="A34" s="1"/>
      <c r="B34" s="40" t="s">
        <v>254</v>
      </c>
      <c r="C34" s="41"/>
      <c r="D34" s="22"/>
      <c r="E34" s="1"/>
    </row>
    <row r="35" spans="1:5" x14ac:dyDescent="0.25">
      <c r="A35" s="1"/>
      <c r="B35" s="42" t="s">
        <v>255</v>
      </c>
      <c r="C35" s="10">
        <v>18202</v>
      </c>
      <c r="D35" s="11" t="s">
        <v>3</v>
      </c>
      <c r="E35" s="1"/>
    </row>
    <row r="36" spans="1:5" x14ac:dyDescent="0.25">
      <c r="A36" s="1"/>
      <c r="B36" s="40" t="s">
        <v>35</v>
      </c>
      <c r="C36" s="33">
        <f>SUM(C21,C23,C27,C29,C31,C33,C35)</f>
        <v>59043312.991650194</v>
      </c>
      <c r="D36" s="22" t="s">
        <v>3</v>
      </c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</sheetData>
  <sheetProtection algorithmName="SHA-512" hashValue="9QOqEMS7joo6qiCvWNgKlnIY7IusNMODY3i7t9g5mYMUbRO6hvvrGz3sVkIX1SY7JnmCqEI6Tcn6YHfGRDvFyw==" saltValue="V/6ke1CqUolJ/tGMmVVGA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85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74" t="s">
        <v>29</v>
      </c>
      <c r="C5" s="74"/>
      <c r="D5" s="74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41"/>
      <c r="D8" s="22"/>
      <c r="E8" s="1"/>
    </row>
    <row r="9" spans="1:5" ht="15" customHeight="1" x14ac:dyDescent="0.25">
      <c r="A9" s="1"/>
      <c r="B9" s="45" t="s">
        <v>36</v>
      </c>
      <c r="C9" s="7">
        <f>'Fane 2.1. Økonomisk ramme 2020'!C21</f>
        <v>27669776.595982354</v>
      </c>
      <c r="D9" s="8" t="s">
        <v>3</v>
      </c>
      <c r="E9" s="1"/>
    </row>
    <row r="10" spans="1:5" ht="15" customHeight="1" x14ac:dyDescent="0.25">
      <c r="A10" s="1"/>
      <c r="B10" s="32" t="s">
        <v>41</v>
      </c>
      <c r="C10" s="7">
        <f>-'Fane 12. Bortfald'!C19</f>
        <v>0</v>
      </c>
      <c r="D10" s="8" t="s">
        <v>3</v>
      </c>
      <c r="E10" s="1"/>
    </row>
    <row r="11" spans="1:5" ht="15" customHeight="1" x14ac:dyDescent="0.25">
      <c r="A11" s="1"/>
      <c r="B11" s="32" t="s">
        <v>40</v>
      </c>
      <c r="C11" s="7">
        <f>-'Fane 12. Bortfald'!E19</f>
        <v>0</v>
      </c>
      <c r="D11" s="8" t="s">
        <v>3</v>
      </c>
      <c r="E11" s="1"/>
    </row>
    <row r="12" spans="1:5" ht="15" customHeight="1" x14ac:dyDescent="0.25">
      <c r="A12" s="1"/>
      <c r="B12" s="39" t="s">
        <v>26</v>
      </c>
      <c r="C12" s="9">
        <f>SUM(C9:C11)*'Fane 14. Nøgletal'!C12</f>
        <v>545094.59894085233</v>
      </c>
      <c r="D12" s="8" t="s">
        <v>3</v>
      </c>
      <c r="E12" s="1"/>
    </row>
    <row r="13" spans="1:5" ht="15" customHeight="1" x14ac:dyDescent="0.25">
      <c r="A13" s="1"/>
      <c r="B13" s="39" t="s">
        <v>10</v>
      </c>
      <c r="C13" s="9">
        <f>-SUM(C9:C12)*'Fane 5. Individuelt eff. krav'!G10</f>
        <v>-241819.97256249699</v>
      </c>
      <c r="D13" s="8" t="s">
        <v>3</v>
      </c>
      <c r="E13" s="1"/>
    </row>
    <row r="14" spans="1:5" ht="15" customHeight="1" x14ac:dyDescent="0.25">
      <c r="A14" s="1"/>
      <c r="B14" s="39" t="s">
        <v>38</v>
      </c>
      <c r="C14" s="9">
        <f>-'Fane 4.1. Gen. krav - drift'!G32</f>
        <v>-221105.04126389683</v>
      </c>
      <c r="D14" s="8" t="s">
        <v>3</v>
      </c>
      <c r="E14" s="1"/>
    </row>
    <row r="15" spans="1:5" ht="15" customHeight="1" x14ac:dyDescent="0.25">
      <c r="A15" s="1"/>
      <c r="B15" s="39" t="s">
        <v>39</v>
      </c>
      <c r="C15" s="9">
        <f>-'Fane 4.2. Gen. krav - anlæg'!G31</f>
        <v>-531364.22871130891</v>
      </c>
      <c r="D15" s="8" t="s">
        <v>3</v>
      </c>
      <c r="E15" s="1"/>
    </row>
    <row r="16" spans="1:5" ht="15" customHeight="1" x14ac:dyDescent="0.25">
      <c r="A16" s="1"/>
      <c r="B16" s="46" t="s">
        <v>28</v>
      </c>
      <c r="C16" s="10">
        <f>SUM(C9:C15)</f>
        <v>27220581.952385508</v>
      </c>
      <c r="D16" s="11" t="s">
        <v>3</v>
      </c>
      <c r="E16" s="1"/>
    </row>
    <row r="17" spans="1:5" x14ac:dyDescent="0.25">
      <c r="A17" s="1"/>
      <c r="B17" s="40" t="s">
        <v>17</v>
      </c>
      <c r="C17" s="41"/>
      <c r="D17" s="22"/>
      <c r="E17" s="1"/>
    </row>
    <row r="18" spans="1:5" ht="15" customHeight="1" x14ac:dyDescent="0.25">
      <c r="A18" s="1"/>
      <c r="B18" s="42" t="s">
        <v>17</v>
      </c>
      <c r="C18" s="10">
        <f>'Fane 6. Ikke-påvirkelige omk.'!C16*(1+'Fane 14. Nøgletal'!C12)</f>
        <v>31786714.521973502</v>
      </c>
      <c r="D18" s="11" t="s">
        <v>3</v>
      </c>
      <c r="E18" s="1"/>
    </row>
    <row r="19" spans="1:5" ht="15" customHeight="1" x14ac:dyDescent="0.25">
      <c r="A19" s="1"/>
      <c r="B19" s="40" t="s">
        <v>142</v>
      </c>
      <c r="C19" s="41"/>
      <c r="D19" s="22"/>
      <c r="E19" s="1"/>
    </row>
    <row r="20" spans="1:5" ht="15" customHeight="1" x14ac:dyDescent="0.25">
      <c r="A20" s="1"/>
      <c r="B20" s="32" t="s">
        <v>138</v>
      </c>
      <c r="C20" s="9">
        <f>'Fane 10.2. Engangstillæg'!C22</f>
        <v>0</v>
      </c>
      <c r="D20" s="8" t="s">
        <v>3</v>
      </c>
      <c r="E20" s="1"/>
    </row>
    <row r="21" spans="1:5" ht="15" customHeight="1" x14ac:dyDescent="0.25">
      <c r="A21" s="1"/>
      <c r="B21" s="32" t="s">
        <v>139</v>
      </c>
      <c r="C21" s="9">
        <f>'Fane 10.2. Engangstillæg'!E22</f>
        <v>0</v>
      </c>
      <c r="D21" s="8" t="s">
        <v>3</v>
      </c>
      <c r="E21" s="1"/>
    </row>
    <row r="22" spans="1:5" ht="15" customHeight="1" x14ac:dyDescent="0.25">
      <c r="A22" s="1"/>
      <c r="B22" s="49" t="s">
        <v>143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40" t="s">
        <v>160</v>
      </c>
      <c r="C23" s="41"/>
      <c r="D23" s="22"/>
      <c r="E23" s="1"/>
    </row>
    <row r="24" spans="1:5" ht="15" customHeight="1" x14ac:dyDescent="0.25">
      <c r="A24" s="1"/>
      <c r="B24" s="42" t="s">
        <v>195</v>
      </c>
      <c r="C24" s="10">
        <f>'Fane 7. Kontrol af ØR2018'!E39</f>
        <v>0</v>
      </c>
      <c r="D24" s="11" t="s">
        <v>3</v>
      </c>
      <c r="E24" s="1"/>
    </row>
    <row r="25" spans="1:5" x14ac:dyDescent="0.25">
      <c r="A25" s="1"/>
      <c r="B25" s="40" t="s">
        <v>44</v>
      </c>
      <c r="C25" s="12">
        <f>SUM(C16,C18,C22,C24)</f>
        <v>59007296.474359006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pL5MoDaFAlSCeRRLb9pT+nd7X+KIMGtpx0lXbS+7bxtdu7uBdDgW34VYS2PpdNvYhFAvv9DBj+jfb0pCMCK0FA==" saltValue="uvbtnIVqZ329hXAqaONRS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193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74" t="s">
        <v>29</v>
      </c>
      <c r="C5" s="74"/>
      <c r="D5" s="74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0" t="s">
        <v>20</v>
      </c>
      <c r="C7" s="41"/>
      <c r="D7" s="22"/>
      <c r="E7" s="1"/>
    </row>
    <row r="8" spans="1:5" ht="15" customHeight="1" x14ac:dyDescent="0.25">
      <c r="A8" s="1"/>
      <c r="B8" s="45" t="s">
        <v>36</v>
      </c>
      <c r="C8" s="7">
        <f>'Fane 2.2. Økonomisk ramme 2021'!C16</f>
        <v>27220581.952385508</v>
      </c>
      <c r="D8" s="8" t="s">
        <v>3</v>
      </c>
      <c r="E8" s="1"/>
    </row>
    <row r="9" spans="1:5" ht="15" customHeight="1" x14ac:dyDescent="0.25">
      <c r="A9" s="1"/>
      <c r="B9" s="45" t="s">
        <v>41</v>
      </c>
      <c r="C9" s="7">
        <f>-'Fane 12. Bortfald'!C26</f>
        <v>0</v>
      </c>
      <c r="D9" s="8" t="s">
        <v>3</v>
      </c>
      <c r="E9" s="1"/>
    </row>
    <row r="10" spans="1:5" ht="15" customHeight="1" x14ac:dyDescent="0.25">
      <c r="A10" s="1"/>
      <c r="B10" s="45" t="s">
        <v>40</v>
      </c>
      <c r="C10" s="7">
        <f>-'Fane 12. Bortfald'!E26</f>
        <v>0</v>
      </c>
      <c r="D10" s="8" t="s">
        <v>3</v>
      </c>
      <c r="E10" s="1"/>
    </row>
    <row r="11" spans="1:5" ht="15" customHeight="1" x14ac:dyDescent="0.25">
      <c r="A11" s="1"/>
      <c r="B11" s="39" t="s">
        <v>26</v>
      </c>
      <c r="C11" s="9">
        <f>SUM(C8:C10)*'Fane 14. Nøgletal'!C12</f>
        <v>536245.46446199447</v>
      </c>
      <c r="D11" s="8" t="s">
        <v>3</v>
      </c>
      <c r="E11" s="1"/>
    </row>
    <row r="12" spans="1:5" ht="15" customHeight="1" x14ac:dyDescent="0.25">
      <c r="A12" s="1"/>
      <c r="B12" s="39" t="s">
        <v>10</v>
      </c>
      <c r="C12" s="9">
        <f>-SUM(C8:C11)*'Fane 5. Individuelt eff. krav'!G10</f>
        <v>-237894.23662411637</v>
      </c>
      <c r="D12" s="8" t="s">
        <v>3</v>
      </c>
      <c r="E12" s="1"/>
    </row>
    <row r="13" spans="1:5" ht="15" customHeight="1" x14ac:dyDescent="0.25">
      <c r="A13" s="1"/>
      <c r="B13" s="39" t="s">
        <v>38</v>
      </c>
      <c r="C13" s="9">
        <f>-'Fane 4.1. Gen. krav - drift'!G38</f>
        <v>-220951.59436525966</v>
      </c>
      <c r="D13" s="8" t="s">
        <v>3</v>
      </c>
      <c r="E13" s="1"/>
    </row>
    <row r="14" spans="1:5" ht="15" customHeight="1" x14ac:dyDescent="0.25">
      <c r="A14" s="1"/>
      <c r="B14" s="39" t="s">
        <v>39</v>
      </c>
      <c r="C14" s="9">
        <f>-'Fane 4.2. Gen. krav - anlæg'!G37</f>
        <v>-526444.07226284128</v>
      </c>
      <c r="D14" s="8" t="s">
        <v>3</v>
      </c>
      <c r="E14" s="1"/>
    </row>
    <row r="15" spans="1:5" x14ac:dyDescent="0.25">
      <c r="A15" s="1"/>
      <c r="B15" s="46" t="s">
        <v>28</v>
      </c>
      <c r="C15" s="10">
        <f>SUM(C8:C14)</f>
        <v>26771537.513595279</v>
      </c>
      <c r="D15" s="11" t="s">
        <v>3</v>
      </c>
      <c r="E15" s="1"/>
    </row>
    <row r="16" spans="1:5" x14ac:dyDescent="0.25">
      <c r="A16" s="1"/>
      <c r="B16" s="40" t="s">
        <v>17</v>
      </c>
      <c r="C16" s="41"/>
      <c r="D16" s="22"/>
      <c r="E16" s="1"/>
    </row>
    <row r="17" spans="1:5" ht="15" customHeight="1" x14ac:dyDescent="0.25">
      <c r="A17" s="1"/>
      <c r="B17" s="42" t="s">
        <v>17</v>
      </c>
      <c r="C17" s="10">
        <f>'Fane 6. Ikke-påvirkelige omk.'!C16*(1+'Fane 14. Nøgletal'!C12)^2</f>
        <v>32412912.798056379</v>
      </c>
      <c r="D17" s="11" t="s">
        <v>3</v>
      </c>
      <c r="E17" s="1"/>
    </row>
    <row r="18" spans="1:5" ht="15" customHeight="1" x14ac:dyDescent="0.25">
      <c r="A18" s="1"/>
      <c r="B18" s="40" t="s">
        <v>142</v>
      </c>
      <c r="C18" s="41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Engangstillæg'!C30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Engangstillæg'!E30</f>
        <v>0</v>
      </c>
      <c r="D20" s="8" t="s">
        <v>3</v>
      </c>
      <c r="E20" s="1"/>
    </row>
    <row r="21" spans="1:5" ht="15" customHeight="1" x14ac:dyDescent="0.25">
      <c r="A21" s="1"/>
      <c r="B21" s="49" t="s">
        <v>143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40" t="s">
        <v>160</v>
      </c>
      <c r="C22" s="41"/>
      <c r="D22" s="22"/>
      <c r="E22" s="1"/>
    </row>
    <row r="23" spans="1:5" ht="15" customHeight="1" x14ac:dyDescent="0.25">
      <c r="A23" s="1"/>
      <c r="B23" s="42" t="s">
        <v>195</v>
      </c>
      <c r="C23" s="10">
        <f>'Fane 2.2. Økonomisk ramme 2021'!C24</f>
        <v>0</v>
      </c>
      <c r="D23" s="11" t="s">
        <v>3</v>
      </c>
      <c r="E23" s="1"/>
    </row>
    <row r="24" spans="1:5" x14ac:dyDescent="0.25">
      <c r="A24" s="1"/>
      <c r="B24" s="40" t="s">
        <v>45</v>
      </c>
      <c r="C24" s="12">
        <f>SUM(C15,C17,C21,C23)</f>
        <v>59184450.311651662</v>
      </c>
      <c r="D24" s="13" t="s">
        <v>3</v>
      </c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SWb2WWHynkM1eWU9Fk0mA6yJdq7u9RKVLRlo2WHTjWk3yXk4ZXx7ZWqdF+7JD/DUWW+f3SLagIVy1Tyhw3KJ6Q==" saltValue="Wan17ewJnUNBUDBoX3vGO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194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74" t="s">
        <v>29</v>
      </c>
      <c r="C5" s="74"/>
      <c r="D5" s="74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0" t="s">
        <v>20</v>
      </c>
      <c r="C7" s="41"/>
      <c r="D7" s="22"/>
      <c r="E7" s="1"/>
    </row>
    <row r="8" spans="1:5" ht="15" customHeight="1" x14ac:dyDescent="0.25">
      <c r="A8" s="1"/>
      <c r="B8" s="45" t="s">
        <v>37</v>
      </c>
      <c r="C8" s="7">
        <f>'Fane 2.3. Økonomisk ramme 2022'!C15</f>
        <v>26771537.513595279</v>
      </c>
      <c r="D8" s="8" t="s">
        <v>3</v>
      </c>
      <c r="E8" s="1"/>
    </row>
    <row r="9" spans="1:5" ht="15" customHeight="1" x14ac:dyDescent="0.25">
      <c r="A9" s="1"/>
      <c r="B9" s="45" t="s">
        <v>41</v>
      </c>
      <c r="C9" s="7">
        <f>-'Fane 12. Bortfald'!C33</f>
        <v>0</v>
      </c>
      <c r="D9" s="8" t="s">
        <v>3</v>
      </c>
      <c r="E9" s="1"/>
    </row>
    <row r="10" spans="1:5" ht="15" customHeight="1" x14ac:dyDescent="0.25">
      <c r="A10" s="1"/>
      <c r="B10" s="45" t="s">
        <v>40</v>
      </c>
      <c r="C10" s="7">
        <f>-'Fane 12. Bortfald'!E33</f>
        <v>0</v>
      </c>
      <c r="D10" s="8" t="s">
        <v>3</v>
      </c>
      <c r="E10" s="1"/>
    </row>
    <row r="11" spans="1:5" ht="15" customHeight="1" x14ac:dyDescent="0.25">
      <c r="A11" s="1"/>
      <c r="B11" s="39" t="s">
        <v>26</v>
      </c>
      <c r="C11" s="9">
        <f>C8*'Fane 14. Nøgletal'!C12</f>
        <v>527399.28901782702</v>
      </c>
      <c r="D11" s="8" t="s">
        <v>3</v>
      </c>
      <c r="E11" s="1"/>
    </row>
    <row r="12" spans="1:5" ht="15" customHeight="1" x14ac:dyDescent="0.25">
      <c r="A12" s="1"/>
      <c r="B12" s="39" t="s">
        <v>10</v>
      </c>
      <c r="C12" s="9">
        <f>-SUM(C8:C11)*'Fane 5. Individuelt eff. krav'!G10</f>
        <v>-233969.81340042609</v>
      </c>
      <c r="D12" s="8" t="s">
        <v>3</v>
      </c>
      <c r="E12" s="1"/>
    </row>
    <row r="13" spans="1:5" ht="15" customHeight="1" x14ac:dyDescent="0.25">
      <c r="A13" s="1"/>
      <c r="B13" s="39" t="s">
        <v>38</v>
      </c>
      <c r="C13" s="9">
        <f>-'Fane 4.1. Gen. krav - drift'!G44</f>
        <v>-220798.25395877019</v>
      </c>
      <c r="D13" s="8" t="s">
        <v>3</v>
      </c>
      <c r="E13" s="1"/>
    </row>
    <row r="14" spans="1:5" ht="15" customHeight="1" x14ac:dyDescent="0.25">
      <c r="A14" s="1"/>
      <c r="B14" s="39" t="s">
        <v>39</v>
      </c>
      <c r="C14" s="9">
        <f>-'Fane 4.2. Gen. krav - anlæg'!G43</f>
        <v>-521569.47390460485</v>
      </c>
      <c r="D14" s="8" t="s">
        <v>3</v>
      </c>
      <c r="E14" s="1"/>
    </row>
    <row r="15" spans="1:5" x14ac:dyDescent="0.25">
      <c r="A15" s="1"/>
      <c r="B15" s="46" t="s">
        <v>28</v>
      </c>
      <c r="C15" s="10">
        <f>SUM(C8:C14)</f>
        <v>26322599.261349306</v>
      </c>
      <c r="D15" s="11" t="s">
        <v>3</v>
      </c>
      <c r="E15" s="1"/>
    </row>
    <row r="16" spans="1:5" x14ac:dyDescent="0.25">
      <c r="A16" s="1"/>
      <c r="B16" s="40" t="s">
        <v>17</v>
      </c>
      <c r="C16" s="41"/>
      <c r="D16" s="22"/>
      <c r="E16" s="1"/>
    </row>
    <row r="17" spans="1:5" ht="15" customHeight="1" x14ac:dyDescent="0.25">
      <c r="A17" s="1"/>
      <c r="B17" s="42" t="s">
        <v>17</v>
      </c>
      <c r="C17" s="10">
        <f>'Fane 6. Ikke-påvirkelige omk.'!C16*(1+'Fane 14. Nøgletal'!C12)^3</f>
        <v>33051447.180178087</v>
      </c>
      <c r="D17" s="11" t="s">
        <v>3</v>
      </c>
      <c r="E17" s="1"/>
    </row>
    <row r="18" spans="1:5" ht="15" customHeight="1" x14ac:dyDescent="0.25">
      <c r="A18" s="1"/>
      <c r="B18" s="40" t="s">
        <v>142</v>
      </c>
      <c r="C18" s="41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Engangstillæg'!C38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Engangstillæg'!E38</f>
        <v>0</v>
      </c>
      <c r="D20" s="8" t="s">
        <v>3</v>
      </c>
      <c r="E20" s="1"/>
    </row>
    <row r="21" spans="1:5" ht="15" customHeight="1" x14ac:dyDescent="0.25">
      <c r="A21" s="1"/>
      <c r="B21" s="49" t="s">
        <v>143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40" t="s">
        <v>154</v>
      </c>
      <c r="C22" s="12">
        <f>SUM(C15,C17,C21)</f>
        <v>59374046.441527396</v>
      </c>
      <c r="D22" s="13" t="s">
        <v>3</v>
      </c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qL1z1HDCVcG43ErtZlyRLwe9vjgk2HkRwE5qxLqzZ5OXtIjme+ffSDcFGM7qC+cwjYYHM0dFgSopVnxTd6fgGw==" saltValue="Dk9UuH5W4K094FSQ9hscs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8" t="s">
        <v>221</v>
      </c>
      <c r="C3" s="98"/>
      <c r="D3" s="98"/>
      <c r="E3" s="98"/>
      <c r="F3" s="98"/>
      <c r="G3" s="1"/>
    </row>
    <row r="4" spans="1:7" ht="29.25" customHeight="1" x14ac:dyDescent="0.25">
      <c r="A4" s="1"/>
      <c r="B4" s="98"/>
      <c r="C4" s="98"/>
      <c r="D4" s="98"/>
      <c r="E4" s="98"/>
      <c r="F4" s="9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84</v>
      </c>
      <c r="C8" s="41"/>
      <c r="D8" s="41"/>
      <c r="E8" s="41"/>
      <c r="F8" s="22"/>
      <c r="G8" s="1"/>
    </row>
    <row r="9" spans="1:7" x14ac:dyDescent="0.25">
      <c r="A9" s="1"/>
      <c r="B9" s="99" t="s">
        <v>81</v>
      </c>
      <c r="C9" s="100"/>
      <c r="D9" s="101"/>
      <c r="E9" s="7">
        <v>26582884.029114004</v>
      </c>
      <c r="F9" s="8" t="s">
        <v>3</v>
      </c>
      <c r="G9" s="1"/>
    </row>
    <row r="10" spans="1:7" x14ac:dyDescent="0.25">
      <c r="A10" s="1"/>
      <c r="B10" s="99" t="s">
        <v>82</v>
      </c>
      <c r="C10" s="100"/>
      <c r="D10" s="101"/>
      <c r="E10" s="7">
        <v>-121772.43659132261</v>
      </c>
      <c r="F10" s="8" t="s">
        <v>3</v>
      </c>
      <c r="G10" s="1"/>
    </row>
    <row r="11" spans="1:7" x14ac:dyDescent="0.25">
      <c r="A11" s="1"/>
      <c r="B11" s="99" t="s">
        <v>83</v>
      </c>
      <c r="C11" s="100"/>
      <c r="D11" s="101"/>
      <c r="E11" s="7">
        <v>59807.995993199918</v>
      </c>
      <c r="F11" s="8" t="s">
        <v>3</v>
      </c>
      <c r="G11" s="1"/>
    </row>
    <row r="12" spans="1:7" x14ac:dyDescent="0.25">
      <c r="A12" s="1"/>
      <c r="B12" s="78" t="s">
        <v>67</v>
      </c>
      <c r="C12" s="79"/>
      <c r="D12" s="80"/>
      <c r="E12" s="7">
        <v>0</v>
      </c>
      <c r="F12" s="8" t="s">
        <v>3</v>
      </c>
      <c r="G12" s="1"/>
    </row>
    <row r="13" spans="1:7" x14ac:dyDescent="0.25">
      <c r="A13" s="1"/>
      <c r="B13" s="78" t="s">
        <v>68</v>
      </c>
      <c r="C13" s="79"/>
      <c r="D13" s="80"/>
      <c r="E13" s="9">
        <v>1220010.5214999998</v>
      </c>
      <c r="F13" s="8" t="s">
        <v>3</v>
      </c>
      <c r="G13" s="1"/>
    </row>
    <row r="14" spans="1:7" x14ac:dyDescent="0.25">
      <c r="A14" s="1"/>
      <c r="B14" s="78" t="s">
        <v>41</v>
      </c>
      <c r="C14" s="79"/>
      <c r="D14" s="80"/>
      <c r="E14" s="9">
        <v>0</v>
      </c>
      <c r="F14" s="8" t="s">
        <v>3</v>
      </c>
      <c r="G14" s="1"/>
    </row>
    <row r="15" spans="1:7" x14ac:dyDescent="0.25">
      <c r="A15" s="1"/>
      <c r="B15" s="78" t="s">
        <v>40</v>
      </c>
      <c r="C15" s="79"/>
      <c r="D15" s="80"/>
      <c r="E15" s="9">
        <v>0</v>
      </c>
      <c r="F15" s="8" t="s">
        <v>3</v>
      </c>
      <c r="G15" s="1"/>
    </row>
    <row r="16" spans="1:7" x14ac:dyDescent="0.25">
      <c r="A16" s="1"/>
      <c r="B16" s="78" t="s">
        <v>43</v>
      </c>
      <c r="C16" s="79"/>
      <c r="D16" s="80"/>
      <c r="E16" s="9">
        <v>0</v>
      </c>
      <c r="F16" s="8" t="s">
        <v>3</v>
      </c>
      <c r="G16" s="1"/>
    </row>
    <row r="17" spans="1:7" x14ac:dyDescent="0.25">
      <c r="A17" s="1"/>
      <c r="B17" s="78" t="s">
        <v>42</v>
      </c>
      <c r="C17" s="79"/>
      <c r="D17" s="80"/>
      <c r="E17" s="9">
        <v>0</v>
      </c>
      <c r="F17" s="8" t="s">
        <v>3</v>
      </c>
      <c r="G17" s="1"/>
    </row>
    <row r="18" spans="1:7" x14ac:dyDescent="0.25">
      <c r="A18" s="1"/>
      <c r="B18" s="78" t="s">
        <v>26</v>
      </c>
      <c r="C18" s="79"/>
      <c r="D18" s="80"/>
      <c r="E18" s="9">
        <f>SUM(E9:E17)*'Fane 14. Nøgletal'!C11</f>
        <v>468821.71885926835</v>
      </c>
      <c r="F18" s="8" t="s">
        <v>3</v>
      </c>
      <c r="G18" s="1"/>
    </row>
    <row r="19" spans="1:7" x14ac:dyDescent="0.25">
      <c r="A19" s="1"/>
      <c r="B19" s="78" t="s">
        <v>10</v>
      </c>
      <c r="C19" s="79"/>
      <c r="D19" s="80"/>
      <c r="E19" s="9">
        <f>-SUM(E9:E18)*'Fane 5. Individuelt eff. krav'!G10</f>
        <v>-241776.09623399182</v>
      </c>
      <c r="F19" s="8" t="s">
        <v>3</v>
      </c>
      <c r="G19" s="1"/>
    </row>
    <row r="20" spans="1:7" x14ac:dyDescent="0.25">
      <c r="A20" s="1"/>
      <c r="B20" s="78" t="s">
        <v>38</v>
      </c>
      <c r="C20" s="79"/>
      <c r="D20" s="80"/>
      <c r="E20" s="9">
        <f>-'Fane 4.1. Gen. krav - drift'!G20</f>
        <v>-222021.90604160959</v>
      </c>
      <c r="F20" s="8" t="s">
        <v>3</v>
      </c>
      <c r="G20" s="1"/>
    </row>
    <row r="21" spans="1:7" x14ac:dyDescent="0.25">
      <c r="A21" s="1"/>
      <c r="B21" s="78" t="s">
        <v>39</v>
      </c>
      <c r="C21" s="79"/>
      <c r="D21" s="80"/>
      <c r="E21" s="9">
        <f>-'Fane 4.2. Gen. krav - anlæg'!G19</f>
        <v>-157674.74726167938</v>
      </c>
      <c r="F21" s="8" t="s">
        <v>3</v>
      </c>
      <c r="G21" s="1"/>
    </row>
    <row r="22" spans="1:7" x14ac:dyDescent="0.25">
      <c r="A22" s="1"/>
      <c r="B22" s="78" t="s">
        <v>234</v>
      </c>
      <c r="C22" s="79"/>
      <c r="D22" s="80"/>
      <c r="E22" s="9">
        <v>-18202</v>
      </c>
      <c r="F22" s="8" t="s">
        <v>3</v>
      </c>
      <c r="G22" s="1"/>
    </row>
    <row r="23" spans="1:7" x14ac:dyDescent="0.25">
      <c r="A23" s="1"/>
      <c r="B23" s="81" t="s">
        <v>28</v>
      </c>
      <c r="C23" s="82"/>
      <c r="D23" s="83"/>
      <c r="E23" s="10">
        <f>SUM(E9:E22)</f>
        <v>27570077.079337865</v>
      </c>
      <c r="F23" s="11" t="s">
        <v>3</v>
      </c>
      <c r="G23" s="1"/>
    </row>
    <row r="24" spans="1:7" x14ac:dyDescent="0.25">
      <c r="A24" s="1"/>
      <c r="B24" s="90" t="s">
        <v>17</v>
      </c>
      <c r="C24" s="91"/>
      <c r="D24" s="91"/>
      <c r="E24" s="41"/>
      <c r="F24" s="22"/>
      <c r="G24" s="1"/>
    </row>
    <row r="25" spans="1:7" x14ac:dyDescent="0.25">
      <c r="A25" s="1"/>
      <c r="B25" s="84" t="s">
        <v>17</v>
      </c>
      <c r="C25" s="85"/>
      <c r="D25" s="86"/>
      <c r="E25" s="10">
        <v>31682448.316223685</v>
      </c>
      <c r="F25" s="11" t="s">
        <v>3</v>
      </c>
      <c r="G25" s="1"/>
    </row>
    <row r="26" spans="1:7" x14ac:dyDescent="0.25">
      <c r="A26" s="1"/>
      <c r="B26" s="90" t="s">
        <v>142</v>
      </c>
      <c r="C26" s="91"/>
      <c r="D26" s="91"/>
      <c r="E26" s="41"/>
      <c r="F26" s="22"/>
      <c r="G26" s="1"/>
    </row>
    <row r="27" spans="1:7" x14ac:dyDescent="0.25">
      <c r="A27" s="1"/>
      <c r="B27" s="95" t="s">
        <v>138</v>
      </c>
      <c r="C27" s="96"/>
      <c r="D27" s="97"/>
      <c r="E27" s="9">
        <v>65016.064557529986</v>
      </c>
      <c r="F27" s="38" t="s">
        <v>3</v>
      </c>
      <c r="G27" s="1"/>
    </row>
    <row r="28" spans="1:7" x14ac:dyDescent="0.25">
      <c r="A28" s="1"/>
      <c r="B28" s="95" t="s">
        <v>139</v>
      </c>
      <c r="C28" s="96"/>
      <c r="D28" s="97"/>
      <c r="E28" s="9">
        <v>0</v>
      </c>
      <c r="F28" s="38" t="s">
        <v>3</v>
      </c>
      <c r="G28" s="1"/>
    </row>
    <row r="29" spans="1:7" x14ac:dyDescent="0.25">
      <c r="A29" s="1"/>
      <c r="B29" s="95" t="s">
        <v>242</v>
      </c>
      <c r="C29" s="96"/>
      <c r="D29" s="97"/>
      <c r="E29" s="9">
        <f>-(E27*'Fane 14. Nøgletal'!C25+E27*'Fane 5. Individuelt eff. krav'!G10)</f>
        <v>-1857.5516551953726</v>
      </c>
      <c r="F29" s="38" t="s">
        <v>3</v>
      </c>
      <c r="G29" s="1"/>
    </row>
    <row r="30" spans="1:7" ht="15" customHeight="1" x14ac:dyDescent="0.25">
      <c r="A30" s="1"/>
      <c r="B30" s="92" t="s">
        <v>143</v>
      </c>
      <c r="C30" s="93"/>
      <c r="D30" s="94"/>
      <c r="E30" s="10">
        <f>SUM(E27:E29)</f>
        <v>63158.512902334616</v>
      </c>
      <c r="F30" s="11" t="s">
        <v>3</v>
      </c>
      <c r="G30" s="1"/>
    </row>
    <row r="31" spans="1:7" x14ac:dyDescent="0.25">
      <c r="A31" s="1"/>
      <c r="B31" s="40" t="s">
        <v>130</v>
      </c>
      <c r="C31" s="41"/>
      <c r="D31" s="41"/>
      <c r="E31" s="41"/>
      <c r="F31" s="22"/>
      <c r="G31" s="1"/>
    </row>
    <row r="32" spans="1:7" ht="27" customHeight="1" x14ac:dyDescent="0.25">
      <c r="A32" s="1"/>
      <c r="B32" s="87" t="s">
        <v>132</v>
      </c>
      <c r="C32" s="88"/>
      <c r="D32" s="89"/>
      <c r="E32" s="10">
        <v>153938.24119170924</v>
      </c>
      <c r="F32" s="11" t="s">
        <v>3</v>
      </c>
      <c r="G32" s="1"/>
    </row>
    <row r="33" spans="1:7" x14ac:dyDescent="0.25">
      <c r="A33" s="1"/>
      <c r="B33" s="40" t="s">
        <v>11</v>
      </c>
      <c r="C33" s="41"/>
      <c r="D33" s="41"/>
      <c r="E33" s="41"/>
      <c r="F33" s="22"/>
      <c r="G33" s="1"/>
    </row>
    <row r="34" spans="1:7" x14ac:dyDescent="0.25">
      <c r="A34" s="1"/>
      <c r="B34" s="84" t="s">
        <v>19</v>
      </c>
      <c r="C34" s="85"/>
      <c r="D34" s="86"/>
      <c r="E34" s="10">
        <v>0</v>
      </c>
      <c r="F34" s="11" t="s">
        <v>3</v>
      </c>
      <c r="G34" s="1"/>
    </row>
    <row r="35" spans="1:7" x14ac:dyDescent="0.25">
      <c r="A35" s="1"/>
      <c r="B35" s="40" t="s">
        <v>160</v>
      </c>
      <c r="C35" s="41"/>
      <c r="D35" s="41"/>
      <c r="E35" s="41"/>
      <c r="F35" s="22"/>
      <c r="G35" s="1"/>
    </row>
    <row r="36" spans="1:7" x14ac:dyDescent="0.25">
      <c r="A36" s="1"/>
      <c r="B36" s="84" t="s">
        <v>131</v>
      </c>
      <c r="C36" s="85"/>
      <c r="D36" s="86"/>
      <c r="E36" s="10">
        <v>192255.1041131161</v>
      </c>
      <c r="F36" s="11" t="s">
        <v>3</v>
      </c>
      <c r="G36" s="1"/>
    </row>
    <row r="37" spans="1:7" x14ac:dyDescent="0.25">
      <c r="A37" s="1"/>
      <c r="B37" s="40" t="s">
        <v>23</v>
      </c>
      <c r="C37" s="41"/>
      <c r="D37" s="41"/>
      <c r="E37" s="12">
        <f>SUM(E34,E32,E30,E25,E23,E36)</f>
        <v>59661877.253768712</v>
      </c>
      <c r="F37" s="13" t="s">
        <v>3</v>
      </c>
      <c r="G37" s="1"/>
    </row>
    <row r="38" spans="1:7" ht="28.15" customHeight="1" x14ac:dyDescent="0.25">
      <c r="A38" s="1"/>
      <c r="B38" s="75" t="s">
        <v>189</v>
      </c>
      <c r="C38" s="76"/>
      <c r="D38" s="76"/>
      <c r="E38" s="76"/>
      <c r="F38" s="77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algorithmName="SHA-512" hashValue="Y5MQgV/Fxh+9gJc+Zd5HGTTtAmpT4sNJxMx9bgiKLfIfvpaZR1PRY3A2bUEHk1pe6TPfTXEJJ12VZQR+pIAjUQ==" saltValue="uMy4GZj54pCdz4Cadx8c3g==" spinCount="100000" sheet="1" objects="1" scenarios="1"/>
  <mergeCells count="27">
    <mergeCell ref="B15:D15"/>
    <mergeCell ref="B16:D16"/>
    <mergeCell ref="B17:D17"/>
    <mergeCell ref="B24:D24"/>
    <mergeCell ref="B25:D25"/>
    <mergeCell ref="B22:D22"/>
    <mergeCell ref="B3:F4"/>
    <mergeCell ref="B9:D9"/>
    <mergeCell ref="B12:D12"/>
    <mergeCell ref="B13:D13"/>
    <mergeCell ref="B14:D14"/>
    <mergeCell ref="B10:D10"/>
    <mergeCell ref="B11:D11"/>
    <mergeCell ref="B38:F38"/>
    <mergeCell ref="B18:D18"/>
    <mergeCell ref="B19:D19"/>
    <mergeCell ref="B20:D20"/>
    <mergeCell ref="B21:D21"/>
    <mergeCell ref="B23:D23"/>
    <mergeCell ref="B36:D36"/>
    <mergeCell ref="B32:D32"/>
    <mergeCell ref="B34:D34"/>
    <mergeCell ref="B26:D26"/>
    <mergeCell ref="B30:D30"/>
    <mergeCell ref="B27:D27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3" t="s">
        <v>202</v>
      </c>
      <c r="C2" s="73"/>
      <c r="D2" s="73"/>
      <c r="E2" s="73"/>
      <c r="F2" s="73"/>
      <c r="G2" s="73"/>
      <c r="H2" s="73"/>
      <c r="I2" s="1"/>
    </row>
    <row r="3" spans="1:9" ht="15" customHeight="1" x14ac:dyDescent="0.25">
      <c r="A3" s="1"/>
      <c r="B3" s="73"/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02" t="s">
        <v>97</v>
      </c>
      <c r="C5" s="103"/>
      <c r="D5" s="103"/>
      <c r="E5" s="103"/>
      <c r="F5" s="103"/>
      <c r="G5" s="103"/>
      <c r="H5" s="104"/>
      <c r="I5" s="1"/>
    </row>
    <row r="6" spans="1:9" x14ac:dyDescent="0.25">
      <c r="A6" s="1"/>
      <c r="B6" s="105" t="s">
        <v>86</v>
      </c>
      <c r="C6" s="106"/>
      <c r="D6" s="106"/>
      <c r="E6" s="106"/>
      <c r="F6" s="107"/>
      <c r="G6" s="26">
        <v>10646230.818906799</v>
      </c>
      <c r="H6" s="14" t="s">
        <v>3</v>
      </c>
      <c r="I6" s="1"/>
    </row>
    <row r="7" spans="1:9" x14ac:dyDescent="0.25">
      <c r="A7" s="1"/>
      <c r="B7" s="105" t="s">
        <v>87</v>
      </c>
      <c r="C7" s="106"/>
      <c r="D7" s="106"/>
      <c r="E7" s="106"/>
      <c r="F7" s="107"/>
      <c r="G7" s="26">
        <f>G6*'Fane 14. Nøgletal'!C25</f>
        <v>212924.61637813598</v>
      </c>
      <c r="H7" s="14" t="s">
        <v>3</v>
      </c>
      <c r="I7" s="1"/>
    </row>
    <row r="8" spans="1:9" x14ac:dyDescent="0.25">
      <c r="A8" s="1"/>
      <c r="B8" s="40"/>
      <c r="C8" s="41"/>
      <c r="D8" s="41"/>
      <c r="E8" s="41"/>
      <c r="F8" s="41"/>
      <c r="G8" s="41"/>
      <c r="H8" s="22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102" t="s">
        <v>98</v>
      </c>
      <c r="C10" s="103"/>
      <c r="D10" s="103"/>
      <c r="E10" s="103"/>
      <c r="F10" s="103"/>
      <c r="G10" s="103"/>
      <c r="H10" s="104"/>
      <c r="I10" s="1"/>
    </row>
    <row r="11" spans="1:9" x14ac:dyDescent="0.25">
      <c r="A11" s="1"/>
      <c r="B11" s="105" t="s">
        <v>88</v>
      </c>
      <c r="C11" s="106"/>
      <c r="D11" s="106"/>
      <c r="E11" s="106"/>
      <c r="F11" s="107"/>
      <c r="G11" s="26">
        <f>(G6-G7)*(1+'Fane 14. Nøgletal'!C9)</f>
        <v>10565809.191300776</v>
      </c>
      <c r="H11" s="14" t="s">
        <v>3</v>
      </c>
      <c r="I11" s="1"/>
    </row>
    <row r="12" spans="1:9" x14ac:dyDescent="0.25">
      <c r="A12" s="1"/>
      <c r="B12" s="108" t="s">
        <v>89</v>
      </c>
      <c r="C12" s="109"/>
      <c r="D12" s="109"/>
      <c r="E12" s="109"/>
      <c r="F12" s="110"/>
      <c r="G12" s="26">
        <v>697840.93066875008</v>
      </c>
      <c r="H12" s="14" t="s">
        <v>3</v>
      </c>
      <c r="I12" s="1"/>
    </row>
    <row r="13" spans="1:9" x14ac:dyDescent="0.25">
      <c r="A13" s="1"/>
      <c r="B13" s="105" t="s">
        <v>90</v>
      </c>
      <c r="C13" s="106"/>
      <c r="D13" s="106"/>
      <c r="E13" s="106"/>
      <c r="F13" s="107"/>
      <c r="G13" s="26">
        <f>(G11+G12)*'Fane 14. Nøgletal'!C25</f>
        <v>225273.00243939055</v>
      </c>
      <c r="H13" s="14" t="s">
        <v>3</v>
      </c>
      <c r="I13" s="1"/>
    </row>
    <row r="14" spans="1:9" x14ac:dyDescent="0.25">
      <c r="A14" s="1"/>
      <c r="B14" s="40"/>
      <c r="C14" s="41"/>
      <c r="D14" s="41"/>
      <c r="E14" s="41"/>
      <c r="F14" s="41"/>
      <c r="G14" s="41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02" t="s">
        <v>99</v>
      </c>
      <c r="C16" s="103"/>
      <c r="D16" s="103"/>
      <c r="E16" s="103"/>
      <c r="F16" s="103"/>
      <c r="G16" s="103"/>
      <c r="H16" s="104"/>
      <c r="I16" s="1"/>
    </row>
    <row r="17" spans="1:9" x14ac:dyDescent="0.25">
      <c r="A17" s="1"/>
      <c r="B17" s="105" t="s">
        <v>91</v>
      </c>
      <c r="C17" s="106"/>
      <c r="D17" s="106"/>
      <c r="E17" s="106"/>
      <c r="F17" s="107"/>
      <c r="G17" s="26">
        <f>(G13/'Fane 14. Nøgletal'!C25-G13)*(1+'Fane 14. Nøgletal'!C11)</f>
        <v>11224925.692850195</v>
      </c>
      <c r="H17" s="14" t="s">
        <v>3</v>
      </c>
      <c r="I17" s="1"/>
    </row>
    <row r="18" spans="1:9" x14ac:dyDescent="0.25">
      <c r="A18" s="1"/>
      <c r="B18" s="105" t="s">
        <v>222</v>
      </c>
      <c r="C18" s="106"/>
      <c r="D18" s="106"/>
      <c r="E18" s="106"/>
      <c r="F18" s="107"/>
      <c r="G18" s="26">
        <v>-123830.39076971594</v>
      </c>
      <c r="H18" s="14" t="s">
        <v>3</v>
      </c>
      <c r="I18" s="1"/>
    </row>
    <row r="19" spans="1:9" x14ac:dyDescent="0.25">
      <c r="A19" s="1"/>
      <c r="B19" s="108" t="s">
        <v>92</v>
      </c>
      <c r="C19" s="109"/>
      <c r="D19" s="109"/>
      <c r="E19" s="109"/>
      <c r="F19" s="110"/>
      <c r="G19" s="26">
        <v>-8.7311491370201111E-11</v>
      </c>
      <c r="H19" s="14" t="s">
        <v>3</v>
      </c>
      <c r="I19" s="1"/>
    </row>
    <row r="20" spans="1:9" x14ac:dyDescent="0.25">
      <c r="A20" s="1"/>
      <c r="B20" s="105" t="s">
        <v>93</v>
      </c>
      <c r="C20" s="106"/>
      <c r="D20" s="106"/>
      <c r="E20" s="106"/>
      <c r="F20" s="107"/>
      <c r="G20" s="26">
        <f>SUM(G17:G19)*'Fane 14. Nøgletal'!C25</f>
        <v>222021.90604160959</v>
      </c>
      <c r="H20" s="14" t="s">
        <v>3</v>
      </c>
      <c r="I20" s="1"/>
    </row>
    <row r="21" spans="1:9" x14ac:dyDescent="0.25">
      <c r="A21" s="1"/>
      <c r="B21" s="40"/>
      <c r="C21" s="41"/>
      <c r="D21" s="41"/>
      <c r="E21" s="41"/>
      <c r="F21" s="41"/>
      <c r="G21" s="41"/>
      <c r="H21" s="22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02" t="s">
        <v>100</v>
      </c>
      <c r="C23" s="103"/>
      <c r="D23" s="103"/>
      <c r="E23" s="103"/>
      <c r="F23" s="103"/>
      <c r="G23" s="103"/>
      <c r="H23" s="104"/>
      <c r="I23" s="1"/>
    </row>
    <row r="24" spans="1:9" x14ac:dyDescent="0.25">
      <c r="A24" s="1"/>
      <c r="B24" s="105" t="s">
        <v>94</v>
      </c>
      <c r="C24" s="106"/>
      <c r="D24" s="106"/>
      <c r="E24" s="106"/>
      <c r="F24" s="107"/>
      <c r="G24" s="26">
        <f>(SUM(G17:G19)-G20)*(1+'Fane 14. Nøgletal'!C11)</f>
        <v>11062929.736431925</v>
      </c>
      <c r="H24" s="14" t="s">
        <v>3</v>
      </c>
      <c r="I24" s="1"/>
    </row>
    <row r="25" spans="1:9" x14ac:dyDescent="0.25">
      <c r="A25" s="1"/>
      <c r="B25" s="108" t="s">
        <v>95</v>
      </c>
      <c r="C25" s="109"/>
      <c r="D25" s="109"/>
      <c r="E25" s="109"/>
      <c r="F25" s="110"/>
      <c r="G25" s="26">
        <f>('Fane 2.1. Økonomisk ramme 2020'!C11+'Fane 2.1. Økonomisk ramme 2020'!C13+'Fane 2.1. Økonomisk ramme 2020'!C15)*(1+'Fane 14. Nøgletal'!C12)</f>
        <v>0</v>
      </c>
      <c r="H25" s="14" t="s">
        <v>3</v>
      </c>
      <c r="I25" s="1"/>
    </row>
    <row r="26" spans="1:9" x14ac:dyDescent="0.25">
      <c r="A26" s="1"/>
      <c r="B26" s="105" t="s">
        <v>96</v>
      </c>
      <c r="C26" s="106"/>
      <c r="D26" s="106"/>
      <c r="E26" s="106"/>
      <c r="F26" s="107"/>
      <c r="G26" s="26">
        <f>(G24+G25)*'Fane 14. Nøgletal'!C25</f>
        <v>221258.59472863851</v>
      </c>
      <c r="H26" s="14" t="s">
        <v>3</v>
      </c>
      <c r="I26" s="1"/>
    </row>
    <row r="27" spans="1:9" x14ac:dyDescent="0.25">
      <c r="A27" s="1"/>
      <c r="B27" s="40"/>
      <c r="C27" s="41"/>
      <c r="D27" s="41"/>
      <c r="E27" s="41"/>
      <c r="F27" s="41"/>
      <c r="G27" s="41"/>
      <c r="H27" s="22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02" t="s">
        <v>191</v>
      </c>
      <c r="C29" s="103"/>
      <c r="D29" s="103"/>
      <c r="E29" s="103"/>
      <c r="F29" s="103"/>
      <c r="G29" s="103"/>
      <c r="H29" s="104"/>
      <c r="I29" s="1"/>
    </row>
    <row r="30" spans="1:9" x14ac:dyDescent="0.25">
      <c r="A30" s="1"/>
      <c r="B30" s="105" t="s">
        <v>103</v>
      </c>
      <c r="C30" s="106"/>
      <c r="D30" s="106"/>
      <c r="E30" s="106"/>
      <c r="F30" s="107"/>
      <c r="G30" s="26">
        <f>(G24+G25-G26)*(1+'Fane 14. Nøgletal'!C12)</f>
        <v>11055252.063194841</v>
      </c>
      <c r="H30" s="14" t="s">
        <v>3</v>
      </c>
      <c r="I30" s="1"/>
    </row>
    <row r="31" spans="1:9" x14ac:dyDescent="0.25">
      <c r="A31" s="1"/>
      <c r="B31" s="105" t="s">
        <v>145</v>
      </c>
      <c r="C31" s="106"/>
      <c r="D31" s="106"/>
      <c r="E31" s="106"/>
      <c r="F31" s="107"/>
      <c r="G31" s="26">
        <f>-'Fane 12. Bortfald'!C19*(1+'Fane 14. Nøgletal'!C12)</f>
        <v>0</v>
      </c>
      <c r="H31" s="14" t="s">
        <v>3</v>
      </c>
      <c r="I31" s="1"/>
    </row>
    <row r="32" spans="1:9" x14ac:dyDescent="0.25">
      <c r="A32" s="1"/>
      <c r="B32" s="105" t="s">
        <v>220</v>
      </c>
      <c r="C32" s="106"/>
      <c r="D32" s="106"/>
      <c r="E32" s="106"/>
      <c r="F32" s="107"/>
      <c r="G32" s="26">
        <f>(G30+G31)*'Fane 14. Nøgletal'!C25</f>
        <v>221105.04126389683</v>
      </c>
      <c r="H32" s="14" t="s">
        <v>3</v>
      </c>
      <c r="I32" s="1"/>
    </row>
    <row r="33" spans="1:9" x14ac:dyDescent="0.25">
      <c r="A33" s="1"/>
      <c r="B33" s="40"/>
      <c r="C33" s="41"/>
      <c r="D33" s="41"/>
      <c r="E33" s="41"/>
      <c r="F33" s="41"/>
      <c r="G33" s="41"/>
      <c r="H33" s="22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02" t="s">
        <v>126</v>
      </c>
      <c r="C35" s="103"/>
      <c r="D35" s="103"/>
      <c r="E35" s="103"/>
      <c r="F35" s="103"/>
      <c r="G35" s="103"/>
      <c r="H35" s="104"/>
      <c r="I35" s="1"/>
    </row>
    <row r="36" spans="1:9" x14ac:dyDescent="0.25">
      <c r="A36" s="1"/>
      <c r="B36" s="105" t="s">
        <v>125</v>
      </c>
      <c r="C36" s="106"/>
      <c r="D36" s="106"/>
      <c r="E36" s="106"/>
      <c r="F36" s="107"/>
      <c r="G36" s="26">
        <f>(G30-G32)*(1+'Fane 14. Nøgletal'!C12)</f>
        <v>11047579.718262983</v>
      </c>
      <c r="H36" s="14" t="s">
        <v>3</v>
      </c>
      <c r="I36" s="1"/>
    </row>
    <row r="37" spans="1:9" x14ac:dyDescent="0.25">
      <c r="A37" s="1"/>
      <c r="B37" s="105" t="s">
        <v>146</v>
      </c>
      <c r="C37" s="106"/>
      <c r="D37" s="106"/>
      <c r="E37" s="106"/>
      <c r="F37" s="107"/>
      <c r="G37" s="26">
        <f>-'Fane 12. Bortfald'!C26*(1+'Fane 14. Nøgletal'!C12)</f>
        <v>0</v>
      </c>
      <c r="H37" s="14" t="s">
        <v>3</v>
      </c>
      <c r="I37" s="1"/>
    </row>
    <row r="38" spans="1:9" x14ac:dyDescent="0.25">
      <c r="A38" s="1"/>
      <c r="B38" s="105" t="s">
        <v>104</v>
      </c>
      <c r="C38" s="106"/>
      <c r="D38" s="106"/>
      <c r="E38" s="106"/>
      <c r="F38" s="107"/>
      <c r="G38" s="26">
        <f>(G36+G37)*'Fane 14. Nøgletal'!C25</f>
        <v>220951.59436525966</v>
      </c>
      <c r="H38" s="14" t="s">
        <v>3</v>
      </c>
      <c r="I38" s="1"/>
    </row>
    <row r="39" spans="1:9" x14ac:dyDescent="0.25">
      <c r="A39" s="1"/>
      <c r="B39" s="40"/>
      <c r="C39" s="41"/>
      <c r="D39" s="41"/>
      <c r="E39" s="41"/>
      <c r="F39" s="41"/>
      <c r="G39" s="41"/>
      <c r="H39" s="22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02" t="s">
        <v>127</v>
      </c>
      <c r="C41" s="103"/>
      <c r="D41" s="103"/>
      <c r="E41" s="103"/>
      <c r="F41" s="103"/>
      <c r="G41" s="103"/>
      <c r="H41" s="104"/>
      <c r="I41" s="1"/>
    </row>
    <row r="42" spans="1:9" x14ac:dyDescent="0.25">
      <c r="A42" s="1"/>
      <c r="B42" s="105" t="s">
        <v>124</v>
      </c>
      <c r="C42" s="106"/>
      <c r="D42" s="106"/>
      <c r="E42" s="106"/>
      <c r="F42" s="107"/>
      <c r="G42" s="26">
        <f>(G36-G38)*(1+'Fane 14. Nøgletal'!C12)</f>
        <v>11039912.697938509</v>
      </c>
      <c r="H42" s="14" t="s">
        <v>3</v>
      </c>
      <c r="I42" s="1"/>
    </row>
    <row r="43" spans="1:9" x14ac:dyDescent="0.25">
      <c r="A43" s="1"/>
      <c r="B43" s="105" t="s">
        <v>147</v>
      </c>
      <c r="C43" s="106"/>
      <c r="D43" s="106"/>
      <c r="E43" s="106"/>
      <c r="F43" s="107"/>
      <c r="G43" s="26">
        <f>-'Fane 12. Bortfald'!C33*(1+'Fane 14. Nøgletal'!C12)</f>
        <v>0</v>
      </c>
      <c r="H43" s="14" t="s">
        <v>3</v>
      </c>
      <c r="I43" s="1"/>
    </row>
    <row r="44" spans="1:9" x14ac:dyDescent="0.25">
      <c r="A44" s="1"/>
      <c r="B44" s="105" t="s">
        <v>105</v>
      </c>
      <c r="C44" s="106"/>
      <c r="D44" s="106"/>
      <c r="E44" s="106"/>
      <c r="F44" s="107"/>
      <c r="G44" s="26">
        <f>(G42+G43)*'Fane 14. Nøgletal'!C25</f>
        <v>220798.25395877019</v>
      </c>
      <c r="H44" s="14" t="s">
        <v>3</v>
      </c>
      <c r="I44" s="1"/>
    </row>
    <row r="45" spans="1:9" x14ac:dyDescent="0.25">
      <c r="A45" s="1"/>
      <c r="B45" s="40"/>
      <c r="C45" s="41"/>
      <c r="D45" s="41"/>
      <c r="E45" s="41"/>
      <c r="F45" s="41"/>
      <c r="G45" s="41"/>
      <c r="H45" s="22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N7SwyTKwpwWYjx3EqsmAM95A1PrLyQ8jYcHdVnTdU02exgA+3Bdn4v7ayWuaKRSNBYOjgENjganq3eI9RPJrsw==" saltValue="xSFIL+RaDAcSe7oHMzMvdg==" spinCount="100000" sheet="1" objects="1" scenarios="1"/>
  <mergeCells count="29">
    <mergeCell ref="B29:H29"/>
    <mergeCell ref="B30:F30"/>
    <mergeCell ref="B35:H35"/>
    <mergeCell ref="B38:F38"/>
    <mergeCell ref="B20:F20"/>
    <mergeCell ref="B24:F24"/>
    <mergeCell ref="B25:F25"/>
    <mergeCell ref="B26:F26"/>
    <mergeCell ref="B36:F36"/>
    <mergeCell ref="B31:F31"/>
    <mergeCell ref="B32:F32"/>
    <mergeCell ref="B16:H16"/>
    <mergeCell ref="B23:H23"/>
    <mergeCell ref="B12:F12"/>
    <mergeCell ref="B13:F13"/>
    <mergeCell ref="B17:F17"/>
    <mergeCell ref="B19:F19"/>
    <mergeCell ref="B18:F18"/>
    <mergeCell ref="B41:H41"/>
    <mergeCell ref="B42:F42"/>
    <mergeCell ref="B44:F44"/>
    <mergeCell ref="B37:F37"/>
    <mergeCell ref="B43:F43"/>
    <mergeCell ref="B2:H4"/>
    <mergeCell ref="B5:H5"/>
    <mergeCell ref="B6:F6"/>
    <mergeCell ref="B7:F7"/>
    <mergeCell ref="B11:F11"/>
    <mergeCell ref="B10:H1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11" t="s">
        <v>203</v>
      </c>
      <c r="C2" s="111"/>
      <c r="D2" s="111"/>
      <c r="E2" s="111"/>
      <c r="F2" s="111"/>
      <c r="G2" s="111"/>
      <c r="H2" s="111"/>
      <c r="I2" s="1"/>
    </row>
    <row r="3" spans="1:9" ht="18.75" x14ac:dyDescent="0.3">
      <c r="A3" s="1"/>
      <c r="B3" s="51"/>
      <c r="C3" s="51"/>
      <c r="D3" s="51"/>
      <c r="E3" s="51"/>
      <c r="F3" s="51"/>
      <c r="G3" s="51"/>
      <c r="H3" s="51"/>
      <c r="I3" s="1"/>
    </row>
    <row r="4" spans="1:9" x14ac:dyDescent="0.25">
      <c r="A4" s="1"/>
      <c r="B4" s="102" t="s">
        <v>101</v>
      </c>
      <c r="C4" s="103"/>
      <c r="D4" s="103"/>
      <c r="E4" s="103"/>
      <c r="F4" s="103"/>
      <c r="G4" s="103"/>
      <c r="H4" s="104"/>
      <c r="I4" s="1"/>
    </row>
    <row r="5" spans="1:9" x14ac:dyDescent="0.25">
      <c r="A5" s="1"/>
      <c r="B5" s="105" t="s">
        <v>106</v>
      </c>
      <c r="C5" s="106"/>
      <c r="D5" s="106"/>
      <c r="E5" s="106"/>
      <c r="F5" s="107"/>
      <c r="G5" s="26">
        <v>14485768.204734059</v>
      </c>
      <c r="H5" s="14" t="s">
        <v>3</v>
      </c>
      <c r="I5" s="1"/>
    </row>
    <row r="6" spans="1:9" x14ac:dyDescent="0.25">
      <c r="A6" s="1"/>
      <c r="B6" s="105" t="s">
        <v>102</v>
      </c>
      <c r="C6" s="106"/>
      <c r="D6" s="106"/>
      <c r="E6" s="106"/>
      <c r="F6" s="107"/>
      <c r="G6" s="26">
        <f>G5*'Fane 14. Nøgletal'!C17</f>
        <v>131820.49066307995</v>
      </c>
      <c r="H6" s="14" t="s">
        <v>3</v>
      </c>
      <c r="I6" s="1"/>
    </row>
    <row r="7" spans="1:9" x14ac:dyDescent="0.25">
      <c r="A7" s="1"/>
      <c r="B7" s="40"/>
      <c r="C7" s="41"/>
      <c r="D7" s="41"/>
      <c r="E7" s="41"/>
      <c r="F7" s="41"/>
      <c r="G7" s="41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02" t="s">
        <v>107</v>
      </c>
      <c r="C9" s="103"/>
      <c r="D9" s="103"/>
      <c r="E9" s="103"/>
      <c r="F9" s="103"/>
      <c r="G9" s="103"/>
      <c r="H9" s="104"/>
      <c r="I9" s="1"/>
    </row>
    <row r="10" spans="1:9" x14ac:dyDescent="0.25">
      <c r="A10" s="1"/>
      <c r="B10" s="105" t="s">
        <v>108</v>
      </c>
      <c r="C10" s="106"/>
      <c r="D10" s="106"/>
      <c r="E10" s="106"/>
      <c r="F10" s="107"/>
      <c r="G10" s="26">
        <f>(G5-G6)*(1+'Fane 14. Nøgletal'!C9)</f>
        <v>14536242.85003968</v>
      </c>
      <c r="H10" s="14" t="s">
        <v>3</v>
      </c>
      <c r="I10" s="1"/>
    </row>
    <row r="11" spans="1:9" x14ac:dyDescent="0.25">
      <c r="A11" s="1"/>
      <c r="B11" s="108" t="s">
        <v>109</v>
      </c>
      <c r="C11" s="109"/>
      <c r="D11" s="109"/>
      <c r="E11" s="109"/>
      <c r="F11" s="110"/>
      <c r="G11" s="26">
        <v>2177089.6065875003</v>
      </c>
      <c r="H11" s="14" t="s">
        <v>3</v>
      </c>
      <c r="I11" s="1"/>
    </row>
    <row r="12" spans="1:9" x14ac:dyDescent="0.25">
      <c r="A12" s="1"/>
      <c r="B12" s="105" t="s">
        <v>110</v>
      </c>
      <c r="C12" s="106"/>
      <c r="D12" s="106"/>
      <c r="E12" s="106"/>
      <c r="F12" s="107"/>
      <c r="G12" s="26">
        <f>G10*'Fane 14. Nøgletal'!C17+G11*'Fane 14. Nøgletal'!C18</f>
        <v>170814.29597195983</v>
      </c>
      <c r="H12" s="14" t="s">
        <v>3</v>
      </c>
      <c r="I12" s="1"/>
    </row>
    <row r="13" spans="1:9" x14ac:dyDescent="0.25">
      <c r="A13" s="1"/>
      <c r="B13" s="40"/>
      <c r="C13" s="41"/>
      <c r="D13" s="41"/>
      <c r="E13" s="41"/>
      <c r="F13" s="41"/>
      <c r="G13" s="41"/>
      <c r="H13" s="22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02" t="s">
        <v>111</v>
      </c>
      <c r="C15" s="103"/>
      <c r="D15" s="103"/>
      <c r="E15" s="103"/>
      <c r="F15" s="103"/>
      <c r="G15" s="103"/>
      <c r="H15" s="104"/>
      <c r="I15" s="1"/>
    </row>
    <row r="16" spans="1:9" x14ac:dyDescent="0.25">
      <c r="A16" s="1"/>
      <c r="B16" s="105" t="s">
        <v>112</v>
      </c>
      <c r="C16" s="106"/>
      <c r="D16" s="106"/>
      <c r="E16" s="106"/>
      <c r="F16" s="107"/>
      <c r="G16" s="26">
        <f>(G10+G11-G12)*(1+'Fane 14. Nøgletal'!C11)</f>
        <v>16822086.71757029</v>
      </c>
      <c r="H16" s="14" t="s">
        <v>3</v>
      </c>
      <c r="I16" s="1"/>
    </row>
    <row r="17" spans="1:9" x14ac:dyDescent="0.25">
      <c r="A17" s="1"/>
      <c r="B17" s="105" t="s">
        <v>223</v>
      </c>
      <c r="C17" s="106"/>
      <c r="D17" s="106"/>
      <c r="E17" s="106"/>
      <c r="F17" s="107"/>
      <c r="G17" s="26">
        <v>60818.751125484989</v>
      </c>
      <c r="H17" s="14" t="s">
        <v>3</v>
      </c>
      <c r="I17" s="1"/>
    </row>
    <row r="18" spans="1:9" x14ac:dyDescent="0.25">
      <c r="A18" s="1"/>
      <c r="B18" s="108" t="s">
        <v>113</v>
      </c>
      <c r="C18" s="109"/>
      <c r="D18" s="109"/>
      <c r="E18" s="109"/>
      <c r="F18" s="110"/>
      <c r="G18" s="26">
        <v>1240628.6993133498</v>
      </c>
      <c r="H18" s="14" t="s">
        <v>3</v>
      </c>
      <c r="I18" s="1"/>
    </row>
    <row r="19" spans="1:9" x14ac:dyDescent="0.25">
      <c r="A19" s="1"/>
      <c r="B19" s="105" t="s">
        <v>114</v>
      </c>
      <c r="C19" s="106"/>
      <c r="D19" s="106"/>
      <c r="E19" s="106"/>
      <c r="F19" s="107"/>
      <c r="G19" s="26">
        <f>SUM(G16:G18)*'Fane 14. Nøgletal'!C19</f>
        <v>157674.74726167938</v>
      </c>
      <c r="H19" s="14" t="s">
        <v>3</v>
      </c>
      <c r="I19" s="1"/>
    </row>
    <row r="20" spans="1:9" x14ac:dyDescent="0.25">
      <c r="A20" s="1"/>
      <c r="B20" s="40"/>
      <c r="C20" s="41"/>
      <c r="D20" s="41"/>
      <c r="E20" s="41"/>
      <c r="F20" s="41"/>
      <c r="G20" s="41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02" t="s">
        <v>115</v>
      </c>
      <c r="C22" s="103"/>
      <c r="D22" s="103"/>
      <c r="E22" s="103"/>
      <c r="F22" s="103"/>
      <c r="G22" s="103"/>
      <c r="H22" s="104"/>
      <c r="I22" s="1"/>
    </row>
    <row r="23" spans="1:9" x14ac:dyDescent="0.25">
      <c r="A23" s="1"/>
      <c r="B23" s="105" t="s">
        <v>116</v>
      </c>
      <c r="C23" s="106"/>
      <c r="D23" s="106"/>
      <c r="E23" s="106"/>
      <c r="F23" s="107"/>
      <c r="G23" s="26">
        <f>(SUM(G16:G18)-G19)*(1+'Fane 14. Nøgletal'!C11)</f>
        <v>18269482.444958076</v>
      </c>
      <c r="H23" s="14" t="s">
        <v>3</v>
      </c>
      <c r="I23" s="1"/>
    </row>
    <row r="24" spans="1:9" x14ac:dyDescent="0.25">
      <c r="A24" s="1"/>
      <c r="B24" s="108" t="s">
        <v>117</v>
      </c>
      <c r="C24" s="109"/>
      <c r="D24" s="109"/>
      <c r="E24" s="109"/>
      <c r="F24" s="110"/>
      <c r="G24" s="26">
        <f>('Fane 2.1. Økonomisk ramme 2020'!C12+'Fane 2.1. Økonomisk ramme 2020'!C14+'Fane 2.1. Økonomisk ramme 2020'!C16)*(1+'Fane 14. Nøgletal'!C12)</f>
        <v>244960.71681687667</v>
      </c>
      <c r="H24" s="14" t="s">
        <v>3</v>
      </c>
      <c r="I24" s="1"/>
    </row>
    <row r="25" spans="1:9" x14ac:dyDescent="0.25">
      <c r="A25" s="1"/>
      <c r="B25" s="105" t="s">
        <v>118</v>
      </c>
      <c r="C25" s="106"/>
      <c r="D25" s="106"/>
      <c r="E25" s="106"/>
      <c r="F25" s="107"/>
      <c r="G25" s="26">
        <f>G23*'Fane 14. Nøgletal'!C19+G24*'Fane 14. Nøgletal'!C20</f>
        <v>165901.38162873455</v>
      </c>
      <c r="H25" s="14" t="s">
        <v>3</v>
      </c>
      <c r="I25" s="1"/>
    </row>
    <row r="26" spans="1:9" x14ac:dyDescent="0.25">
      <c r="A26" s="1"/>
      <c r="B26" s="40"/>
      <c r="C26" s="41"/>
      <c r="D26" s="41"/>
      <c r="E26" s="41"/>
      <c r="F26" s="41"/>
      <c r="G26" s="41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02" t="s">
        <v>190</v>
      </c>
      <c r="C28" s="103"/>
      <c r="D28" s="103"/>
      <c r="E28" s="103"/>
      <c r="F28" s="103"/>
      <c r="G28" s="103"/>
      <c r="H28" s="104"/>
      <c r="I28" s="1"/>
    </row>
    <row r="29" spans="1:9" x14ac:dyDescent="0.25">
      <c r="A29" s="1"/>
      <c r="B29" s="105" t="s">
        <v>119</v>
      </c>
      <c r="C29" s="106"/>
      <c r="D29" s="106"/>
      <c r="E29" s="106"/>
      <c r="F29" s="107"/>
      <c r="G29" s="26">
        <f>(G23+G24-G25)*(1+'Fane 14. Nøgletal'!C12)</f>
        <v>18710008.053215101</v>
      </c>
      <c r="H29" s="14" t="s">
        <v>3</v>
      </c>
      <c r="I29" s="1"/>
    </row>
    <row r="30" spans="1:9" x14ac:dyDescent="0.25">
      <c r="A30" s="1"/>
      <c r="B30" s="105" t="s">
        <v>151</v>
      </c>
      <c r="C30" s="106"/>
      <c r="D30" s="106"/>
      <c r="E30" s="106"/>
      <c r="F30" s="107"/>
      <c r="G30" s="26">
        <f>-'Fane 12. Bortfald'!E19*(1+'Fane 14. Nøgletal'!C12)</f>
        <v>0</v>
      </c>
      <c r="H30" s="14" t="s">
        <v>3</v>
      </c>
      <c r="I30" s="1"/>
    </row>
    <row r="31" spans="1:9" x14ac:dyDescent="0.25">
      <c r="A31" s="1"/>
      <c r="B31" s="105" t="s">
        <v>219</v>
      </c>
      <c r="C31" s="106"/>
      <c r="D31" s="106"/>
      <c r="E31" s="106"/>
      <c r="F31" s="107"/>
      <c r="G31" s="26">
        <f>(G29+G30)*'Fane 14. Nøgletal'!C20</f>
        <v>531364.22871130891</v>
      </c>
      <c r="H31" s="14" t="s">
        <v>3</v>
      </c>
      <c r="I31" s="1"/>
    </row>
    <row r="32" spans="1:9" x14ac:dyDescent="0.25">
      <c r="A32" s="1"/>
      <c r="B32" s="40"/>
      <c r="C32" s="41"/>
      <c r="D32" s="41"/>
      <c r="E32" s="41"/>
      <c r="F32" s="41"/>
      <c r="G32" s="41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02" t="s">
        <v>128</v>
      </c>
      <c r="C34" s="103"/>
      <c r="D34" s="103"/>
      <c r="E34" s="103"/>
      <c r="F34" s="103"/>
      <c r="G34" s="103"/>
      <c r="H34" s="104"/>
      <c r="I34" s="1"/>
    </row>
    <row r="35" spans="1:9" x14ac:dyDescent="0.25">
      <c r="A35" s="1"/>
      <c r="B35" s="105" t="s">
        <v>123</v>
      </c>
      <c r="C35" s="106"/>
      <c r="D35" s="106"/>
      <c r="E35" s="106"/>
      <c r="F35" s="107"/>
      <c r="G35" s="26">
        <f>(G29-G31)*(1+'Fane 14. Nøgletal'!C12)</f>
        <v>18536763.107846521</v>
      </c>
      <c r="H35" s="14" t="s">
        <v>3</v>
      </c>
      <c r="I35" s="1"/>
    </row>
    <row r="36" spans="1:9" x14ac:dyDescent="0.25">
      <c r="A36" s="1"/>
      <c r="B36" s="105" t="s">
        <v>152</v>
      </c>
      <c r="C36" s="106"/>
      <c r="D36" s="106"/>
      <c r="E36" s="106"/>
      <c r="F36" s="107"/>
      <c r="G36" s="26">
        <f>-'Fane 12. Bortfald'!E26*(1+'Fane 14. Nøgletal'!C12)</f>
        <v>0</v>
      </c>
      <c r="H36" s="14" t="s">
        <v>3</v>
      </c>
      <c r="I36" s="1"/>
    </row>
    <row r="37" spans="1:9" x14ac:dyDescent="0.25">
      <c r="A37" s="1"/>
      <c r="B37" s="105" t="s">
        <v>120</v>
      </c>
      <c r="C37" s="106"/>
      <c r="D37" s="106"/>
      <c r="E37" s="106"/>
      <c r="F37" s="107"/>
      <c r="G37" s="26">
        <f>(G35+G36)*'Fane 14. Nøgletal'!C20</f>
        <v>526444.07226284128</v>
      </c>
      <c r="H37" s="14" t="s">
        <v>3</v>
      </c>
      <c r="I37" s="1"/>
    </row>
    <row r="38" spans="1:9" x14ac:dyDescent="0.25">
      <c r="A38" s="1"/>
      <c r="B38" s="40"/>
      <c r="C38" s="41"/>
      <c r="D38" s="41"/>
      <c r="E38" s="41"/>
      <c r="F38" s="41"/>
      <c r="G38" s="41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02" t="s">
        <v>129</v>
      </c>
      <c r="C40" s="103"/>
      <c r="D40" s="103"/>
      <c r="E40" s="103"/>
      <c r="F40" s="103"/>
      <c r="G40" s="103"/>
      <c r="H40" s="104"/>
      <c r="I40" s="1"/>
    </row>
    <row r="41" spans="1:9" x14ac:dyDescent="0.25">
      <c r="A41" s="1"/>
      <c r="B41" s="105" t="s">
        <v>122</v>
      </c>
      <c r="C41" s="106"/>
      <c r="D41" s="106"/>
      <c r="E41" s="106"/>
      <c r="F41" s="107"/>
      <c r="G41" s="26">
        <f>(G35-G37)*(1+'Fane 14. Nøgletal'!C12)</f>
        <v>18365122.320584677</v>
      </c>
      <c r="H41" s="14" t="s">
        <v>3</v>
      </c>
      <c r="I41" s="1"/>
    </row>
    <row r="42" spans="1:9" x14ac:dyDescent="0.25">
      <c r="A42" s="1"/>
      <c r="B42" s="105" t="s">
        <v>153</v>
      </c>
      <c r="C42" s="106"/>
      <c r="D42" s="106"/>
      <c r="E42" s="106"/>
      <c r="F42" s="107"/>
      <c r="G42" s="26">
        <f>-'Fane 12. Bortfald'!E33*(1+'Fane 14. Nøgletal'!C12)</f>
        <v>0</v>
      </c>
      <c r="H42" s="14" t="s">
        <v>3</v>
      </c>
      <c r="I42" s="1"/>
    </row>
    <row r="43" spans="1:9" x14ac:dyDescent="0.25">
      <c r="A43" s="1"/>
      <c r="B43" s="105" t="s">
        <v>121</v>
      </c>
      <c r="C43" s="106"/>
      <c r="D43" s="106"/>
      <c r="E43" s="106"/>
      <c r="F43" s="107"/>
      <c r="G43" s="26">
        <f>(G41+G42)*'Fane 14. Nøgletal'!C20</f>
        <v>521569.47390460485</v>
      </c>
      <c r="H43" s="14" t="s">
        <v>3</v>
      </c>
      <c r="I43" s="1"/>
    </row>
    <row r="44" spans="1:9" x14ac:dyDescent="0.25">
      <c r="A44" s="1"/>
      <c r="B44" s="40"/>
      <c r="C44" s="41"/>
      <c r="D44" s="41"/>
      <c r="E44" s="41"/>
      <c r="F44" s="41"/>
      <c r="G44" s="41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wtJVc/UfH5ac3YZP6z8vtlS9+sIA4iV7GIQnMWkD2XEIswri6DhJXkCx9O9sNaJycCb3KQ+Oso7yr1D0t7YyCQ==" saltValue="ao6QeMuFNskKqQCsttQxMw==" spinCount="100000" sheet="1" objects="1" scenarios="1"/>
  <mergeCells count="29">
    <mergeCell ref="B22:H22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17:F1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144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02" t="s">
        <v>10</v>
      </c>
      <c r="C8" s="103"/>
      <c r="D8" s="103"/>
      <c r="E8" s="103"/>
      <c r="F8" s="103"/>
      <c r="G8" s="103"/>
      <c r="H8" s="104"/>
      <c r="I8" s="1"/>
    </row>
    <row r="9" spans="1:9" x14ac:dyDescent="0.25">
      <c r="A9" s="1"/>
      <c r="B9" s="105" t="s">
        <v>178</v>
      </c>
      <c r="C9" s="106"/>
      <c r="D9" s="106"/>
      <c r="E9" s="106"/>
      <c r="F9" s="107"/>
      <c r="G9" s="25">
        <v>0.02</v>
      </c>
      <c r="H9" s="14"/>
      <c r="I9" s="1"/>
    </row>
    <row r="10" spans="1:9" x14ac:dyDescent="0.25">
      <c r="A10" s="1"/>
      <c r="B10" s="105" t="s">
        <v>179</v>
      </c>
      <c r="C10" s="106"/>
      <c r="D10" s="106"/>
      <c r="E10" s="106"/>
      <c r="F10" s="107"/>
      <c r="G10" s="25">
        <v>8.5706566190530201E-3</v>
      </c>
      <c r="H10" s="14"/>
      <c r="I10" s="1"/>
    </row>
    <row r="11" spans="1:9" x14ac:dyDescent="0.25">
      <c r="A11" s="1"/>
      <c r="B11" s="40"/>
      <c r="C11" s="41"/>
      <c r="D11" s="41"/>
      <c r="E11" s="41"/>
      <c r="F11" s="41"/>
      <c r="G11" s="41"/>
      <c r="H11" s="2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25">
      <c r="A13" s="20"/>
      <c r="B13" s="112"/>
      <c r="C13" s="112"/>
      <c r="D13" s="112"/>
      <c r="E13" s="112"/>
      <c r="F13" s="112"/>
      <c r="G13" s="112"/>
      <c r="H13" s="112"/>
      <c r="I13" s="20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ql7TSPVITgJGDb3ihAPjs9xb5v4hHPDtdw71001i8kwdM+GepYn0n5U1qnAEZxiqiiY1cho20TdsyfXpJZ6nbg==" saltValue="++uVKDaoSYYafZe5S3pxMA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Tilknyttet aktivitet</vt:lpstr>
      <vt:lpstr>Fane 12. Bortfald</vt:lpstr>
      <vt:lpstr>Fane 13. Hist. over-underdæk.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2019-09-10T07:02:09Z</dcterms:modified>
</cp:coreProperties>
</file>