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Thisted Drikkevand AS (V184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Tilknyttet aktivitet" sheetId="29" r:id="rId16"/>
    <sheet name="Fane 12. Bortfald" sheetId="21" r:id="rId17"/>
    <sheet name="Fane 13. Hist. over-underdæk." sheetId="10" r:id="rId18"/>
    <sheet name="Fane 14. Nøgletal" sheetId="26" r:id="rId19"/>
  </sheets>
  <externalReferences>
    <externalReference r:id="rId20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18" i="32" l="1"/>
  <c r="E9" i="32"/>
  <c r="E32" i="32" l="1"/>
  <c r="E9" i="40"/>
  <c r="G7" i="30" l="1"/>
  <c r="E10" i="40" l="1"/>
  <c r="C33" i="2" s="1"/>
  <c r="E32" i="21" l="1"/>
  <c r="E33" i="21" s="1"/>
  <c r="C32" i="21"/>
  <c r="C33" i="21" s="1"/>
  <c r="E25" i="21"/>
  <c r="E26" i="21" s="1"/>
  <c r="C25" i="21"/>
  <c r="C26" i="21" s="1"/>
  <c r="E18" i="21"/>
  <c r="E19" i="21" s="1"/>
  <c r="C18" i="21"/>
  <c r="C19" i="21" s="1"/>
  <c r="G30" i="36" l="1"/>
  <c r="C11" i="15"/>
  <c r="G31" i="30"/>
  <c r="C10" i="15"/>
  <c r="G37" i="30"/>
  <c r="C9" i="22"/>
  <c r="G36" i="36"/>
  <c r="C10" i="22"/>
  <c r="G42" i="36"/>
  <c r="C10" i="23"/>
  <c r="C9" i="23"/>
  <c r="G43" i="30"/>
  <c r="E35" i="39"/>
  <c r="C35" i="39"/>
  <c r="E27" i="39"/>
  <c r="C27" i="39"/>
  <c r="E19" i="39"/>
  <c r="C19" i="39"/>
  <c r="E11" i="39"/>
  <c r="C11" i="39"/>
  <c r="C13" i="39" l="1"/>
  <c r="C12" i="39"/>
  <c r="C29" i="39"/>
  <c r="C28" i="39"/>
  <c r="C30" i="39" s="1"/>
  <c r="C19" i="22" s="1"/>
  <c r="C21" i="39"/>
  <c r="C20" i="39"/>
  <c r="E13" i="39"/>
  <c r="E12" i="39"/>
  <c r="E14" i="39" s="1"/>
  <c r="C26" i="2" s="1"/>
  <c r="E29" i="39"/>
  <c r="E28" i="39"/>
  <c r="C37" i="39"/>
  <c r="C36" i="39"/>
  <c r="E21" i="39"/>
  <c r="E20" i="39"/>
  <c r="E37" i="39"/>
  <c r="E36" i="39"/>
  <c r="E30" i="39" l="1"/>
  <c r="C20" i="22" s="1"/>
  <c r="C22" i="39"/>
  <c r="C20" i="15" s="1"/>
  <c r="C38" i="39"/>
  <c r="C19" i="23" s="1"/>
  <c r="E38" i="39"/>
  <c r="C20" i="23" s="1"/>
  <c r="E22" i="39"/>
  <c r="C21" i="15" s="1"/>
  <c r="C21" i="22"/>
  <c r="C14" i="39"/>
  <c r="C25" i="2" s="1"/>
  <c r="G12" i="10"/>
  <c r="G14" i="10" s="1"/>
  <c r="C21" i="23" l="1"/>
  <c r="C22" i="15"/>
  <c r="C27" i="2"/>
  <c r="G6" i="36" l="1"/>
  <c r="G10" i="36" l="1"/>
  <c r="G11" i="30"/>
  <c r="G13" i="30" s="1"/>
  <c r="G17" i="30" s="1"/>
  <c r="G12" i="36" l="1"/>
  <c r="G16" i="36" s="1"/>
  <c r="G19" i="36" l="1"/>
  <c r="G23" i="36" s="1"/>
  <c r="G20" i="30" l="1"/>
  <c r="G24" i="30" s="1"/>
  <c r="E21" i="27"/>
  <c r="E20" i="27" l="1"/>
  <c r="E18" i="27" l="1"/>
  <c r="E27" i="32" l="1"/>
  <c r="E37" i="32" l="1"/>
  <c r="E39" i="32" s="1"/>
  <c r="C24" i="15" s="1"/>
  <c r="C23" i="22" s="1"/>
  <c r="C31" i="2"/>
  <c r="F11" i="11" l="1"/>
  <c r="C10" i="37" s="1"/>
  <c r="C11" i="37" s="1"/>
  <c r="C12" i="37" s="1"/>
  <c r="C11" i="2" s="1"/>
  <c r="G11" i="11"/>
  <c r="E11" i="21" l="1"/>
  <c r="C11" i="21"/>
  <c r="E11" i="29"/>
  <c r="C11" i="29"/>
  <c r="C12" i="19"/>
  <c r="C13" i="19" s="1"/>
  <c r="C12" i="29" l="1"/>
  <c r="C15" i="2" s="1"/>
  <c r="E12" i="29"/>
  <c r="C16" i="2" s="1"/>
  <c r="C17" i="23"/>
  <c r="C17" i="22"/>
  <c r="C18" i="15"/>
  <c r="C23" i="2"/>
  <c r="E12" i="21"/>
  <c r="C14" i="2" s="1"/>
  <c r="C12" i="21"/>
  <c r="C13" i="2" s="1"/>
  <c r="G25" i="30" l="1"/>
  <c r="G26" i="30" s="1"/>
  <c r="C19" i="2" l="1"/>
  <c r="G30" i="30" l="1"/>
  <c r="G32" i="30" s="1"/>
  <c r="E11" i="11"/>
  <c r="E10" i="37" s="1"/>
  <c r="E11" i="37" s="1"/>
  <c r="E12" i="37" s="1"/>
  <c r="C12" i="2" s="1"/>
  <c r="G24" i="36" s="1"/>
  <c r="G25" i="36" s="1"/>
  <c r="C29" i="2"/>
  <c r="C14" i="15" l="1"/>
  <c r="G36" i="30" l="1"/>
  <c r="G38" i="30" s="1"/>
  <c r="C13" i="22" l="1"/>
  <c r="G42" i="30" l="1"/>
  <c r="C20" i="2"/>
  <c r="G29" i="36"/>
  <c r="G31" i="36" s="1"/>
  <c r="G44" i="30" l="1"/>
  <c r="C13" i="23" s="1"/>
  <c r="G35" i="36"/>
  <c r="G37" i="36" s="1"/>
  <c r="C15" i="15" l="1"/>
  <c r="C14" i="22"/>
  <c r="G41" i="36" l="1"/>
  <c r="G43" i="36" s="1"/>
  <c r="C14" i="23" l="1"/>
  <c r="E19" i="27"/>
  <c r="E23" i="27" s="1"/>
  <c r="E32" i="27" l="1"/>
  <c r="C9" i="2"/>
  <c r="C17" i="2" s="1"/>
  <c r="C18" i="2" l="1"/>
  <c r="C21" i="2" s="1"/>
  <c r="C36" i="2" s="1"/>
  <c r="C9" i="15" l="1"/>
  <c r="C12" i="15" l="1"/>
  <c r="C13" i="15" s="1"/>
  <c r="C16" i="15" l="1"/>
  <c r="C25" i="15" s="1"/>
  <c r="C8" i="22" l="1"/>
  <c r="C11" i="22" s="1"/>
  <c r="C12" i="22" s="1"/>
  <c r="C15" i="22" l="1"/>
  <c r="C24" i="22" l="1"/>
  <c r="C8" i="23"/>
  <c r="C11" i="23" l="1"/>
  <c r="C12" i="23" s="1"/>
  <c r="C15" i="23" l="1"/>
  <c r="C22" i="23" s="1"/>
</calcChain>
</file>

<file path=xl/sharedStrings.xml><?xml version="1.0" encoding="utf-8"?>
<sst xmlns="http://schemas.openxmlformats.org/spreadsheetml/2006/main" count="594" uniqueCount="245">
  <si>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</si>
  <si>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</si>
  <si>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</si>
  <si>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</si>
  <si>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</si>
  <si>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</si>
  <si>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</si>
  <si>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</si>
  <si>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</si>
  <si>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</si>
  <si>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</si>
  <si>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</si>
  <si>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</si>
  <si>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</si>
  <si>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</si>
  <si>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</si>
  <si>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</si>
  <si>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</si>
  <si>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</si>
  <si>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</si>
  <si>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</si>
  <si>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</si>
  <si>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</si>
  <si>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</si>
  <si>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</si>
  <si>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</si>
  <si>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</si>
  <si>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</si>
  <si>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</si>
  <si>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</si>
  <si>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</si>
  <si>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</si>
  <si>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</si>
  <si>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</si>
  <si>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</si>
  <si>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</si>
  <si>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</si>
  <si>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</si>
  <si>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</si>
  <si>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</si>
  <si>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</si>
  <si>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</si>
  <si>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</si>
  <si>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</si>
  <si>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</si>
  <si>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</si>
  <si>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</si>
  <si>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</si>
  <si>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</si>
  <si>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</si>
  <si>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</si>
  <si>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</si>
  <si>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</si>
  <si>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Korrektion og kontrol med overholdelse af indtægtsrammer</t>
  </si>
  <si>
    <t>Fane 14: Nøgletal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</si>
  <si>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</si>
  <si>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</si>
  <si>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</si>
  <si>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</si>
  <si>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</si>
  <si>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</si>
  <si>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</si>
  <si>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</si>
  <si>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</si>
  <si>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</si>
  <si>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</si>
  <si>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</si>
  <si>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</si>
  <si>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</si>
  <si>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</si>
  <si>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</si>
  <si>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</si>
  <si>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</si>
  <si>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</si>
  <si>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</si>
  <si>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</si>
  <si>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</si>
  <si>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</si>
  <si>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</si>
  <si>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</si>
  <si>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</si>
  <si>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</si>
  <si>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grundlag - Drift</t>
  </si>
  <si>
    <t>Korrektion af grundlag - Anlæg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</si>
  <si>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</si>
  <si>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</si>
  <si>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</si>
  <si>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</si>
  <si>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</si>
  <si>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</si>
  <si>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</si>
  <si>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</si>
  <si>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</si>
  <si>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</si>
  <si>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</si>
  <si>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</si>
  <si>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</si>
  <si>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</si>
  <si>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</si>
  <si>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</si>
  <si>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</si>
  <si>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</si>
  <si>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</si>
  <si>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</si>
  <si>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</si>
  <si>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</si>
  <si>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</si>
  <si>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</si>
  <si>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</si>
  <si>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</si>
  <si>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</si>
  <si>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</si>
  <si>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</si>
  <si>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</si>
  <si>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</si>
  <si>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</si>
  <si>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</si>
  <si>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</si>
  <si>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</si>
  <si>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</si>
  <si>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</si>
  <si>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</si>
  <si>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</si>
  <si>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</si>
  <si>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</si>
  <si>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</si>
  <si>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</si>
  <si>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</si>
  <si>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</si>
  <si>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</si>
  <si>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Korrektion af budgetterede omkostninger</t>
  </si>
  <si>
    <t>Tillæg/fradrag for kontrol af prisloft 2016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</si>
  <si>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</si>
  <si>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</si>
  <si>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</si>
  <si>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</si>
  <si>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</si>
  <si>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</si>
  <si>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</si>
  <si>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</si>
  <si>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</si>
  <si>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</si>
  <si>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</si>
  <si>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</si>
  <si>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</si>
  <si>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</si>
  <si>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</si>
  <si>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</si>
  <si>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</si>
  <si>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</si>
  <si>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</si>
  <si>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</si>
  <si>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</si>
  <si>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</si>
  <si>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</si>
  <si>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</si>
  <si>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</si>
  <si>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</si>
  <si>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</si>
  <si>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</si>
  <si>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</si>
  <si>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Kontrol af den økonomiske ramme for 2018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</si>
  <si>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</si>
  <si>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</si>
  <si>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</si>
  <si>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</si>
  <si>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</si>
  <si>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</si>
  <si>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</si>
  <si>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</si>
  <si>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</si>
  <si>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</si>
  <si>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</si>
  <si>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</si>
  <si>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</si>
  <si>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</si>
  <si>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</si>
  <si>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Vejledende økonomisk ramme for 2021</t>
  </si>
  <si>
    <t>Individuelt effektiviseringskrav til de økonomiske rammer for 2017-2018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</si>
  <si>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</si>
  <si>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</si>
  <si>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</si>
  <si>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</si>
  <si>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</si>
  <si>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</si>
  <si>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</si>
  <si>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</si>
  <si>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Difference 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</si>
  <si>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</si>
  <si>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</si>
  <si>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Generelt effektiviseringskrav til anlægsomkostninger i de vejledende økonomiske rammer for 2021</t>
  </si>
  <si>
    <t>Generelt effektiviseringskrav til driftsomkostninger i de vejledende økonomiske rammer for 2021</t>
  </si>
  <si>
    <t xml:space="preserve">Til statusmeddelelse for 2020 </t>
  </si>
  <si>
    <t>Fane 2.3: Samlet økonomisk ramme for 2022</t>
  </si>
  <si>
    <t>Fane 2.4: Samlet økonomisk ramme for 2023</t>
  </si>
  <si>
    <t>Fradrag for kontrol med overholdelse af indtægtsrammen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</si>
  <si>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</si>
  <si>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</si>
  <si>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</si>
  <si>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</si>
  <si>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</si>
  <si>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</si>
  <si>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</si>
  <si>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</si>
  <si>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</si>
  <si>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7: Kontrol med overholdelse af den økonomiske ramme for 2018</t>
  </si>
  <si>
    <t>Fane 10.1: Varige tillæg</t>
  </si>
  <si>
    <t>Fane 10.2: Engangstillæg</t>
  </si>
  <si>
    <t>Fane 11: Tilknyttet aktivitet under hovedvirksomheden</t>
  </si>
  <si>
    <t>Fane 12: Bortfald eller nedsættelse af omkostninger til mål, medfinansiering eller udvidelse</t>
  </si>
  <si>
    <t>Fane 13: Historisk over- eller underdækning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</si>
  <si>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</si>
  <si>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</si>
  <si>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</si>
  <si>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</si>
  <si>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</si>
  <si>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</si>
  <si>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</si>
  <si>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Tillæg/fradrag for kontrol af den økonomiske ramme for 2018</t>
  </si>
  <si>
    <t>Vejledende generelt effektiviseringskrav til anlægsomkostningerne i ØR21</t>
  </si>
  <si>
    <t>Vejledende generelt effektiviseringskrav til driftsomkostningerne i ØR21</t>
  </si>
  <si>
    <t>Fane 3: Videreførte omkostninger fra den økonomiske ramme for 2019</t>
  </si>
  <si>
    <t>Korrektion af driftsomkostninger i grundlaget</t>
  </si>
  <si>
    <t>Korrektion af anlægsomkostninger i grundlaget</t>
  </si>
  <si>
    <t>Fane 3</t>
  </si>
  <si>
    <t>Korrektion af tidligere rammer</t>
  </si>
  <si>
    <t>Tillæg/fradrag for korrektion af tidligere rammer</t>
  </si>
  <si>
    <t>Fradrag i de økonomiske rammer for 2021-2022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</si>
  <si>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</si>
  <si>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</si>
  <si>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</si>
  <si>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</si>
  <si>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</si>
  <si>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</si>
  <si>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Forkert beregnet generelt effektiviseringskrav</t>
  </si>
  <si>
    <t>Tillæg for forkert beregnet generelt effektiviseringskrav</t>
  </si>
  <si>
    <t>Afgift for ledningsført vand</t>
  </si>
  <si>
    <t>Afgift til Forsyningssekretariatet</t>
  </si>
  <si>
    <t>Ingen engangstillæg</t>
  </si>
  <si>
    <t>Ingen anlægsprojekter</t>
  </si>
  <si>
    <t>Anlægsprojekter igangsat senest 1. marts 2016</t>
  </si>
  <si>
    <t>Til indregning i den økonomiske ramme for 2020</t>
  </si>
  <si>
    <t>Tillæg/fradrag i den økonomiske ramme for 2020 i alt</t>
  </si>
  <si>
    <t>Ekstraordinær engangskorrektion</t>
  </si>
  <si>
    <t>Engangskorrektion for forkert beregnet generelt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</si>
</sst>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3" fillId="2" borderId="0" xfId="0" applyFont="1" applyFill="1" applyBorder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quotePrefix="1" applyFont="1" applyFill="1" applyBorder="1" applyAlignment="1" applyProtection="1">
      <alignment wrapText="1"/>
    </xf>
    <xf numFmtId="0" fontId="8" fillId="9" borderId="6" xfId="0" quotePrefix="1" applyFont="1" applyFill="1" applyBorder="1" applyAlignment="1" applyProtection="1">
      <alignment wrapText="1"/>
    </xf>
    <xf numFmtId="0" fontId="8" fillId="9" borderId="3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9" borderId="6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>
        <row r="1">
          <cell r="A1" t="str">
            <v>ØR 2020-2023 samt statusmeddelelser</v>
          </cell>
        </row>
      </sheetData>
      <sheetData sheetId="2"/>
      <sheetData sheetId="3"/>
      <sheetData sheetId="4"/>
      <sheetData sheetId="5">
        <row r="5">
          <cell r="C5">
            <v>1.0168999999999999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6" t="s">
        <v>4</v>
      </c>
      <c r="E6" s="66"/>
      <c r="F6" s="66"/>
      <c r="G6" s="66"/>
      <c r="H6" s="3"/>
      <c r="I6" s="1"/>
    </row>
    <row r="7" spans="1:9" ht="15" customHeight="1" x14ac:dyDescent="0.25">
      <c r="A7" s="1"/>
      <c r="B7" s="1"/>
      <c r="C7" s="3"/>
      <c r="D7" s="66"/>
      <c r="E7" s="66"/>
      <c r="F7" s="66"/>
      <c r="G7" s="66"/>
      <c r="H7" s="3"/>
      <c r="I7" s="1"/>
    </row>
    <row r="8" spans="1:9" ht="15.75" x14ac:dyDescent="0.25">
      <c r="A8" s="1"/>
      <c r="B8" s="1"/>
      <c r="C8" s="4"/>
      <c r="D8" s="68" t="s">
        <v>192</v>
      </c>
      <c r="E8" s="68"/>
      <c r="F8" s="68"/>
      <c r="G8" s="6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3" t="s">
        <v>56</v>
      </c>
      <c r="E13" s="64"/>
      <c r="F13" s="64"/>
      <c r="G13" s="65"/>
      <c r="H13" s="1"/>
      <c r="I13" s="1"/>
    </row>
    <row r="14" spans="1:9" x14ac:dyDescent="0.25">
      <c r="A14" s="1"/>
      <c r="B14" s="1"/>
      <c r="C14" s="6" t="s">
        <v>22</v>
      </c>
      <c r="D14" s="63" t="s">
        <v>177</v>
      </c>
      <c r="E14" s="64"/>
      <c r="F14" s="64"/>
      <c r="G14" s="65"/>
      <c r="H14" s="1"/>
      <c r="I14" s="1"/>
    </row>
    <row r="15" spans="1:9" x14ac:dyDescent="0.25">
      <c r="A15" s="1"/>
      <c r="B15" s="1"/>
      <c r="C15" s="6" t="s">
        <v>55</v>
      </c>
      <c r="D15" s="63" t="s">
        <v>133</v>
      </c>
      <c r="E15" s="64"/>
      <c r="F15" s="64"/>
      <c r="G15" s="65"/>
      <c r="H15" s="1"/>
      <c r="I15" s="1"/>
    </row>
    <row r="16" spans="1:9" x14ac:dyDescent="0.25">
      <c r="A16" s="1"/>
      <c r="B16" s="1"/>
      <c r="C16" s="6" t="s">
        <v>57</v>
      </c>
      <c r="D16" s="63" t="s">
        <v>134</v>
      </c>
      <c r="E16" s="64"/>
      <c r="F16" s="64"/>
      <c r="G16" s="65"/>
      <c r="H16" s="1"/>
      <c r="I16" s="1"/>
    </row>
    <row r="17" spans="1:9" x14ac:dyDescent="0.25">
      <c r="A17" s="1"/>
      <c r="B17" s="1"/>
      <c r="C17" s="6" t="s">
        <v>224</v>
      </c>
      <c r="D17" s="63" t="s">
        <v>66</v>
      </c>
      <c r="E17" s="64"/>
      <c r="F17" s="64"/>
      <c r="G17" s="65"/>
      <c r="H17" s="1"/>
      <c r="I17" s="1"/>
    </row>
    <row r="18" spans="1:9" x14ac:dyDescent="0.25">
      <c r="A18" s="1"/>
      <c r="B18" s="1"/>
      <c r="C18" s="34" t="s">
        <v>196</v>
      </c>
      <c r="D18" s="69" t="s">
        <v>162</v>
      </c>
      <c r="E18" s="70"/>
      <c r="F18" s="70"/>
      <c r="G18" s="71"/>
      <c r="H18" s="1"/>
      <c r="I18" s="1"/>
    </row>
    <row r="19" spans="1:9" x14ac:dyDescent="0.25">
      <c r="A19" s="1"/>
      <c r="B19" s="1"/>
      <c r="C19" s="34" t="s">
        <v>197</v>
      </c>
      <c r="D19" s="69" t="s">
        <v>163</v>
      </c>
      <c r="E19" s="70"/>
      <c r="F19" s="70"/>
      <c r="G19" s="71"/>
      <c r="H19" s="1"/>
      <c r="I19" s="1"/>
    </row>
    <row r="20" spans="1:9" x14ac:dyDescent="0.25">
      <c r="A20" s="1"/>
      <c r="B20" s="1"/>
      <c r="C20" s="34" t="s">
        <v>7</v>
      </c>
      <c r="D20" s="69" t="s">
        <v>10</v>
      </c>
      <c r="E20" s="70"/>
      <c r="F20" s="70"/>
      <c r="G20" s="71"/>
      <c r="H20" s="1"/>
      <c r="I20" s="1"/>
    </row>
    <row r="21" spans="1:9" x14ac:dyDescent="0.25">
      <c r="A21" s="1"/>
      <c r="B21" s="1"/>
      <c r="C21" s="6" t="s">
        <v>198</v>
      </c>
      <c r="D21" s="60" t="s">
        <v>17</v>
      </c>
      <c r="E21" s="61"/>
      <c r="F21" s="61"/>
      <c r="G21" s="62"/>
      <c r="H21" s="1"/>
      <c r="I21" s="1"/>
    </row>
    <row r="22" spans="1:9" x14ac:dyDescent="0.25">
      <c r="A22" s="1"/>
      <c r="B22" s="1"/>
      <c r="C22" s="6" t="s">
        <v>140</v>
      </c>
      <c r="D22" s="54" t="s">
        <v>161</v>
      </c>
      <c r="E22" s="55"/>
      <c r="F22" s="55"/>
      <c r="G22" s="56"/>
      <c r="H22" s="1"/>
      <c r="I22" s="1"/>
    </row>
    <row r="23" spans="1:9" x14ac:dyDescent="0.25">
      <c r="A23" s="1"/>
      <c r="B23" s="1"/>
      <c r="C23" s="6" t="s">
        <v>8</v>
      </c>
      <c r="D23" s="54" t="s">
        <v>225</v>
      </c>
      <c r="E23" s="55"/>
      <c r="F23" s="55"/>
      <c r="G23" s="56"/>
      <c r="H23" s="1"/>
      <c r="I23" s="1"/>
    </row>
    <row r="24" spans="1:9" x14ac:dyDescent="0.25">
      <c r="A24" s="1"/>
      <c r="B24" s="1"/>
      <c r="C24" s="6" t="s">
        <v>9</v>
      </c>
      <c r="D24" s="54" t="s">
        <v>58</v>
      </c>
      <c r="E24" s="55"/>
      <c r="F24" s="55"/>
      <c r="G24" s="56"/>
      <c r="H24" s="1"/>
      <c r="I24" s="1"/>
    </row>
    <row r="25" spans="1:9" x14ac:dyDescent="0.25">
      <c r="A25" s="1"/>
      <c r="B25" s="1"/>
      <c r="C25" s="6" t="s">
        <v>199</v>
      </c>
      <c r="D25" s="54" t="s">
        <v>141</v>
      </c>
      <c r="E25" s="55"/>
      <c r="F25" s="55"/>
      <c r="G25" s="56"/>
      <c r="H25" s="1"/>
      <c r="I25" s="1"/>
    </row>
    <row r="26" spans="1:9" x14ac:dyDescent="0.25">
      <c r="A26" s="1"/>
      <c r="B26" s="1"/>
      <c r="C26" s="6" t="s">
        <v>200</v>
      </c>
      <c r="D26" s="54" t="s">
        <v>142</v>
      </c>
      <c r="E26" s="55"/>
      <c r="F26" s="55"/>
      <c r="G26" s="56"/>
      <c r="H26" s="1"/>
      <c r="I26" s="1"/>
    </row>
    <row r="27" spans="1:9" x14ac:dyDescent="0.25">
      <c r="A27" s="1"/>
      <c r="B27" s="1"/>
      <c r="C27" s="6" t="s">
        <v>201</v>
      </c>
      <c r="D27" s="54" t="s">
        <v>59</v>
      </c>
      <c r="E27" s="55"/>
      <c r="F27" s="55"/>
      <c r="G27" s="56"/>
      <c r="H27" s="1"/>
      <c r="I27" s="1"/>
    </row>
    <row r="28" spans="1:9" x14ac:dyDescent="0.25">
      <c r="A28" s="1"/>
      <c r="B28" s="1"/>
      <c r="C28" s="6" t="s">
        <v>183</v>
      </c>
      <c r="D28" s="54" t="s">
        <v>60</v>
      </c>
      <c r="E28" s="55"/>
      <c r="F28" s="55"/>
      <c r="G28" s="56"/>
      <c r="H28" s="1"/>
      <c r="I28" s="1"/>
    </row>
    <row r="29" spans="1:9" x14ac:dyDescent="0.25">
      <c r="A29" s="1"/>
      <c r="B29" s="1"/>
      <c r="C29" s="6" t="s">
        <v>61</v>
      </c>
      <c r="D29" s="51" t="s">
        <v>11</v>
      </c>
      <c r="E29" s="52"/>
      <c r="F29" s="52"/>
      <c r="G29" s="53"/>
      <c r="H29" s="1"/>
      <c r="I29" s="1"/>
    </row>
    <row r="30" spans="1:9" x14ac:dyDescent="0.25">
      <c r="A30" s="1"/>
      <c r="B30" s="1"/>
      <c r="C30" s="6" t="s">
        <v>62</v>
      </c>
      <c r="D30" s="57" t="s">
        <v>184</v>
      </c>
      <c r="E30" s="58"/>
      <c r="F30" s="58"/>
      <c r="G30" s="59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ky2HuBqljHPCrId41sOfQkPfWfKbtFMYFTBuFb72xRjPrhZK00GOYTJ252w49b6KUWknw167OEz2chv0rCVTSw==" saltValue="57mB2Zu265iQLxCrmGGahQ==" spinCount="100000" sheet="1" objects="1" scenarios="1"/>
  <mergeCells count="21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9:G29"/>
    <mergeCell ref="D28:G28"/>
    <mergeCell ref="D30:G30"/>
    <mergeCell ref="D21:G21"/>
    <mergeCell ref="D24:G24"/>
    <mergeCell ref="D25:G25"/>
    <mergeCell ref="D27:G27"/>
    <mergeCell ref="D26:G26"/>
    <mergeCell ref="D23:G23"/>
  </mergeCells>
  <hyperlinks>
    <hyperlink ref="D14:G14" location="'Fane 2.2. Økonomisk ramme 2021'!A1" display="Samlet økonomisk ramme for 2021"/>
    <hyperlink ref="D25:G25" location="'Fane 10.1. Varige tillæg'!A1" display="Varige tillæg"/>
    <hyperlink ref="D27:G27" location="'Fane 11. Tilknyttet aktivitet'!A1" display="Tilknyttet aktivitet"/>
    <hyperlink ref="D28:G28" location="'Fane 12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1:G21" location="'Fane 6. Ikke-påvirkelige omk.'!A1" display="Ikke-påvirkelige omkostninger"/>
    <hyperlink ref="D22:G22" location="'Fane 7. Kontrol af ØR2018'!A1" display="Kontrol af den økonomiske ramme for 2018"/>
    <hyperlink ref="D24:G24" location="'Fane 9. Anlægsprojekter'!A1" display="Anlægsprojekter"/>
    <hyperlink ref="D30:G30" location="'Fane 14. Nøgletal'!A1" display="Nøgletal"/>
    <hyperlink ref="D17:G17" location="'Fane 3. Omkostninger i ØR2019'!A1" display="Omkostninger i ØR2019"/>
    <hyperlink ref="D26:G26" location="'Fane 10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  <hyperlink ref="D29:G29" location="'Fane 13. Hist. over-underdæk.'!A1" display="Historisk over- eller underdæknin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7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2" t="s">
        <v>204</v>
      </c>
      <c r="C3" s="72"/>
      <c r="D3" s="72"/>
      <c r="E3" s="1"/>
      <c r="F3" s="1"/>
    </row>
    <row r="4" spans="1:6" ht="15" customHeight="1" x14ac:dyDescent="0.25">
      <c r="A4" s="1"/>
      <c r="B4" s="72"/>
      <c r="C4" s="72"/>
      <c r="D4" s="72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5" t="s">
        <v>69</v>
      </c>
      <c r="C8" s="96"/>
      <c r="D8" s="97"/>
      <c r="E8" s="1"/>
      <c r="F8" s="1"/>
    </row>
    <row r="9" spans="1:6" ht="15" customHeight="1" x14ac:dyDescent="0.25">
      <c r="A9" s="1"/>
      <c r="B9" s="39" t="s">
        <v>48</v>
      </c>
      <c r="C9" s="11" t="s">
        <v>70</v>
      </c>
      <c r="D9" s="11"/>
      <c r="E9" s="1"/>
      <c r="F9" s="1"/>
    </row>
    <row r="10" spans="1:6" x14ac:dyDescent="0.25">
      <c r="A10" s="1"/>
      <c r="B10" s="48" t="s">
        <v>236</v>
      </c>
      <c r="C10" s="9">
        <v>20016962</v>
      </c>
      <c r="D10" s="14" t="s">
        <v>3</v>
      </c>
      <c r="E10" s="1"/>
      <c r="F10" s="1"/>
    </row>
    <row r="11" spans="1:6" x14ac:dyDescent="0.25">
      <c r="A11" s="1"/>
      <c r="B11" s="48" t="s">
        <v>237</v>
      </c>
      <c r="C11" s="9">
        <v>62316</v>
      </c>
      <c r="D11" s="14" t="s">
        <v>3</v>
      </c>
      <c r="E11" s="1"/>
      <c r="F11" s="1"/>
    </row>
    <row r="12" spans="1:6" x14ac:dyDescent="0.25">
      <c r="A12" s="1"/>
      <c r="B12" s="46" t="s">
        <v>71</v>
      </c>
      <c r="C12" s="12">
        <f>SUM(C10:C11)</f>
        <v>20079278</v>
      </c>
      <c r="D12" s="13" t="s">
        <v>3</v>
      </c>
      <c r="E12" s="1"/>
      <c r="F12" s="1"/>
    </row>
    <row r="13" spans="1:6" x14ac:dyDescent="0.25">
      <c r="A13" s="1"/>
      <c r="B13" s="46" t="s">
        <v>72</v>
      </c>
      <c r="C13" s="12">
        <f>C12*(1+'Fane 14. Nøgletal'!C12)^2</f>
        <v>20878194.120199021</v>
      </c>
      <c r="D13" s="13" t="s">
        <v>3</v>
      </c>
      <c r="E13" s="1"/>
      <c r="F13" s="1"/>
    </row>
    <row r="14" spans="1:6" x14ac:dyDescent="0.25">
      <c r="A14" s="1"/>
      <c r="B14" s="16"/>
      <c r="C14" s="15"/>
      <c r="D14" s="15"/>
      <c r="E14" s="1"/>
      <c r="F14" s="1"/>
    </row>
    <row r="15" spans="1:6" x14ac:dyDescent="0.25">
      <c r="A15" s="1"/>
      <c r="B15" s="16"/>
      <c r="C15" s="15"/>
      <c r="D15" s="15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</sheetData>
  <sheetProtection algorithmName="SHA-512" hashValue="SE25OW2FdFfmfVhQdUdwnLSGOmWa/OTGJO9H3SvfmUarYdxT0AUBxhjfXnvj9Lo/vEzbw3nEiUnAxONz0qLgOA==" saltValue="rVnMjAGfJjs5hADm8oJJQ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2" t="s">
        <v>205</v>
      </c>
      <c r="C3" s="82"/>
      <c r="D3" s="82"/>
      <c r="E3" s="82"/>
      <c r="F3" s="82"/>
      <c r="G3" s="1"/>
    </row>
    <row r="4" spans="1:7" ht="15" customHeight="1" x14ac:dyDescent="0.25">
      <c r="A4" s="1"/>
      <c r="B4" s="82"/>
      <c r="C4" s="82"/>
      <c r="D4" s="82"/>
      <c r="E4" s="82"/>
      <c r="F4" s="82"/>
      <c r="G4" s="1"/>
    </row>
    <row r="5" spans="1:7" ht="15" customHeight="1" x14ac:dyDescent="0.25">
      <c r="A5" s="1"/>
      <c r="B5" s="44"/>
      <c r="C5" s="44"/>
      <c r="D5" s="44"/>
      <c r="E5" s="44"/>
      <c r="F5" s="44"/>
      <c r="G5" s="1"/>
    </row>
    <row r="6" spans="1:7" ht="15" customHeight="1" x14ac:dyDescent="0.25">
      <c r="A6" s="1"/>
      <c r="B6" s="95" t="s">
        <v>52</v>
      </c>
      <c r="C6" s="96"/>
      <c r="D6" s="96"/>
      <c r="E6" s="96"/>
      <c r="F6" s="97"/>
      <c r="G6" s="1"/>
    </row>
    <row r="7" spans="1:7" ht="15" customHeight="1" x14ac:dyDescent="0.25">
      <c r="A7" s="1"/>
      <c r="B7" s="98" t="s">
        <v>50</v>
      </c>
      <c r="C7" s="99"/>
      <c r="D7" s="100"/>
      <c r="E7" s="9">
        <v>294490.24147212011</v>
      </c>
      <c r="F7" s="14" t="s">
        <v>3</v>
      </c>
      <c r="G7" s="1"/>
    </row>
    <row r="8" spans="1:7" ht="15" customHeight="1" x14ac:dyDescent="0.25">
      <c r="A8" s="1"/>
      <c r="B8" s="98" t="s">
        <v>51</v>
      </c>
      <c r="C8" s="99"/>
      <c r="D8" s="100"/>
      <c r="E8" s="9">
        <v>7398460.688322641</v>
      </c>
      <c r="F8" s="14" t="s">
        <v>3</v>
      </c>
      <c r="G8" s="1"/>
    </row>
    <row r="9" spans="1:7" ht="15" customHeight="1" x14ac:dyDescent="0.25">
      <c r="A9" s="1"/>
      <c r="B9" s="106" t="s">
        <v>186</v>
      </c>
      <c r="C9" s="107"/>
      <c r="D9" s="108"/>
      <c r="E9" s="10">
        <f>SUM(E7:E8)</f>
        <v>7692950.9297947614</v>
      </c>
      <c r="F9" s="17" t="s">
        <v>3</v>
      </c>
      <c r="G9" s="1"/>
    </row>
    <row r="10" spans="1:7" ht="15" customHeight="1" x14ac:dyDescent="0.25">
      <c r="A10" s="1"/>
      <c r="B10" s="46"/>
      <c r="C10" s="47"/>
      <c r="D10" s="47"/>
      <c r="E10" s="47"/>
      <c r="F10" s="22"/>
      <c r="G10" s="1"/>
    </row>
    <row r="11" spans="1:7" ht="28.5" customHeight="1" x14ac:dyDescent="0.25">
      <c r="A11" s="1"/>
      <c r="B11" s="86" t="s">
        <v>188</v>
      </c>
      <c r="C11" s="87"/>
      <c r="D11" s="87"/>
      <c r="E11" s="87"/>
      <c r="F11" s="8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5" t="s">
        <v>165</v>
      </c>
      <c r="C14" s="96"/>
      <c r="D14" s="96"/>
      <c r="E14" s="96"/>
      <c r="F14" s="97"/>
      <c r="G14" s="1"/>
    </row>
    <row r="15" spans="1:7" x14ac:dyDescent="0.25">
      <c r="A15" s="1"/>
      <c r="B15" s="98" t="s">
        <v>166</v>
      </c>
      <c r="C15" s="99"/>
      <c r="D15" s="100"/>
      <c r="E15" s="9">
        <v>46198395.324341036</v>
      </c>
      <c r="F15" s="14" t="s">
        <v>3</v>
      </c>
      <c r="G15" s="1"/>
    </row>
    <row r="16" spans="1:7" x14ac:dyDescent="0.25">
      <c r="A16" s="1"/>
      <c r="B16" s="98" t="s">
        <v>167</v>
      </c>
      <c r="C16" s="99"/>
      <c r="D16" s="100"/>
      <c r="E16" s="9">
        <v>43309872</v>
      </c>
      <c r="F16" s="14" t="s">
        <v>3</v>
      </c>
      <c r="G16" s="1"/>
    </row>
    <row r="17" spans="1:7" x14ac:dyDescent="0.25">
      <c r="A17" s="1"/>
      <c r="B17" s="98" t="s">
        <v>49</v>
      </c>
      <c r="C17" s="99"/>
      <c r="D17" s="100"/>
      <c r="E17" s="9">
        <v>0</v>
      </c>
      <c r="F17" s="14" t="s">
        <v>3</v>
      </c>
      <c r="G17" s="1"/>
    </row>
    <row r="18" spans="1:7" x14ac:dyDescent="0.25">
      <c r="A18" s="1"/>
      <c r="B18" s="106" t="s">
        <v>187</v>
      </c>
      <c r="C18" s="107"/>
      <c r="D18" s="108"/>
      <c r="E18" s="10">
        <f>E15-(E16-E17)</f>
        <v>2888523.3243410364</v>
      </c>
      <c r="F18" s="17" t="s">
        <v>3</v>
      </c>
      <c r="G18" s="1"/>
    </row>
    <row r="19" spans="1:7" x14ac:dyDescent="0.25">
      <c r="A19" s="1"/>
      <c r="B19" s="46"/>
      <c r="C19" s="47"/>
      <c r="D19" s="47"/>
      <c r="E19" s="47"/>
      <c r="F19" s="22"/>
      <c r="G19" s="1"/>
    </row>
    <row r="20" spans="1:7" ht="30" customHeight="1" x14ac:dyDescent="0.25">
      <c r="A20" s="1"/>
      <c r="B20" s="86" t="s">
        <v>189</v>
      </c>
      <c r="C20" s="87"/>
      <c r="D20" s="87"/>
      <c r="E20" s="87"/>
      <c r="F20" s="8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95" t="s">
        <v>77</v>
      </c>
      <c r="C23" s="96"/>
      <c r="D23" s="96"/>
      <c r="E23" s="96"/>
      <c r="F23" s="97"/>
      <c r="G23" s="1"/>
    </row>
    <row r="24" spans="1:7" x14ac:dyDescent="0.25">
      <c r="A24" s="1"/>
      <c r="B24" s="98" t="s">
        <v>78</v>
      </c>
      <c r="C24" s="99"/>
      <c r="D24" s="100"/>
      <c r="E24" s="9">
        <v>46049514.641116351</v>
      </c>
      <c r="F24" s="14" t="s">
        <v>3</v>
      </c>
      <c r="G24" s="1"/>
    </row>
    <row r="25" spans="1:7" x14ac:dyDescent="0.25">
      <c r="A25" s="1"/>
      <c r="B25" s="98" t="s">
        <v>79</v>
      </c>
      <c r="C25" s="99"/>
      <c r="D25" s="100"/>
      <c r="E25" s="9">
        <v>49201924</v>
      </c>
      <c r="F25" s="14" t="s">
        <v>3</v>
      </c>
      <c r="G25" s="1"/>
    </row>
    <row r="26" spans="1:7" x14ac:dyDescent="0.25">
      <c r="A26" s="1"/>
      <c r="B26" s="98" t="s">
        <v>49</v>
      </c>
      <c r="C26" s="99"/>
      <c r="D26" s="100"/>
      <c r="E26" s="9">
        <v>0</v>
      </c>
      <c r="F26" s="14" t="s">
        <v>3</v>
      </c>
      <c r="G26" s="1"/>
    </row>
    <row r="27" spans="1:7" x14ac:dyDescent="0.25">
      <c r="A27" s="1"/>
      <c r="B27" s="106" t="s">
        <v>187</v>
      </c>
      <c r="C27" s="107"/>
      <c r="D27" s="108"/>
      <c r="E27" s="10">
        <f>E24-(E25-E26)</f>
        <v>-3152409.3588836491</v>
      </c>
      <c r="F27" s="17" t="s">
        <v>3</v>
      </c>
      <c r="G27" s="1"/>
    </row>
    <row r="28" spans="1:7" x14ac:dyDescent="0.25">
      <c r="A28" s="1"/>
      <c r="B28" s="46"/>
      <c r="C28" s="47"/>
      <c r="D28" s="47"/>
      <c r="E28" s="47"/>
      <c r="F28" s="22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95" t="s">
        <v>241</v>
      </c>
      <c r="C31" s="96"/>
      <c r="D31" s="96"/>
      <c r="E31" s="96"/>
      <c r="F31" s="97"/>
      <c r="G31" s="1"/>
    </row>
    <row r="32" spans="1:7" x14ac:dyDescent="0.25">
      <c r="A32" s="1"/>
      <c r="B32" s="106" t="s">
        <v>242</v>
      </c>
      <c r="C32" s="107"/>
      <c r="D32" s="108"/>
      <c r="E32" s="10">
        <f>IF(AND(E9&gt;0,E18&gt;0),E9/2,IF(AND(E9&gt;0,E18&lt;0,ABS(E9)&gt;ABS(E18)),(E9+E18)/2,IF(AND(E9&lt;0,E18&gt;0,ABS(E9)&gt;ABS(E18)),(E9+E18)/2,IF(AND(E9&gt;0,E18&lt;0,ABS(E9)&lt;ABS(E18)),(E9+E18)/2+IF(E27+E9+E18&gt;0,E27-(E27+E9+E18),IF(E27+E9+E18=0,E27,IF(AND(E27&gt;0,E27+E9+E18&lt;0),E27,0))),IF(AND(E9&lt;0,E18&lt;0),(E9+E18)/2+IF(E27+E9+E18&gt;0,E27-(E27+E9+E18),IF(E27+E9+E18=0,E27,IF(AND(E27&gt;0,E27+E9+E18&lt;0),E27,0))),0)))))</f>
        <v>3846475.4648973807</v>
      </c>
      <c r="F32" s="17" t="s">
        <v>3</v>
      </c>
      <c r="G32" s="1"/>
    </row>
    <row r="33" spans="1:7" x14ac:dyDescent="0.25">
      <c r="A33" s="1"/>
      <c r="B33" s="95"/>
      <c r="C33" s="96"/>
      <c r="D33" s="96"/>
      <c r="E33" s="96"/>
      <c r="F33" s="97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95" t="s">
        <v>180</v>
      </c>
      <c r="C36" s="96"/>
      <c r="D36" s="96"/>
      <c r="E36" s="96"/>
      <c r="F36" s="97"/>
      <c r="G36" s="1"/>
    </row>
    <row r="37" spans="1:7" x14ac:dyDescent="0.25">
      <c r="A37" s="1"/>
      <c r="B37" s="109" t="s">
        <v>53</v>
      </c>
      <c r="C37" s="110"/>
      <c r="D37" s="111"/>
      <c r="E37" s="9">
        <f>IF(AND(E9&gt;0,E18&gt;0),IF(E18+E27&gt;=0,0,IF(E18+E27&lt;0,E18+E27,0)),IF(AND(E9&lt;0,E18&gt;0,ABS(E9)&lt;ABS(E18)),IF(E9+E18+E27&gt;=0,0,IF(E9+E18+E27&lt;0,E9+E18+E27,0)),IF(E27&gt;=0,0,E27)))</f>
        <v>-263886.03454261273</v>
      </c>
      <c r="F37" s="14" t="s">
        <v>3</v>
      </c>
      <c r="G37" s="1"/>
    </row>
    <row r="38" spans="1:7" x14ac:dyDescent="0.25">
      <c r="A38" s="1"/>
      <c r="B38" s="109" t="s">
        <v>185</v>
      </c>
      <c r="C38" s="110"/>
      <c r="D38" s="111"/>
      <c r="E38" s="9">
        <v>2</v>
      </c>
      <c r="F38" s="14" t="s">
        <v>27</v>
      </c>
      <c r="G38" s="1"/>
    </row>
    <row r="39" spans="1:7" ht="15" customHeight="1" x14ac:dyDescent="0.25">
      <c r="A39" s="1"/>
      <c r="B39" s="106" t="s">
        <v>227</v>
      </c>
      <c r="C39" s="107"/>
      <c r="D39" s="108"/>
      <c r="E39" s="10">
        <f>E37/E38</f>
        <v>-131943.01727130637</v>
      </c>
      <c r="F39" s="17" t="s">
        <v>3</v>
      </c>
      <c r="G39" s="1"/>
    </row>
    <row r="40" spans="1:7" x14ac:dyDescent="0.25">
      <c r="A40" s="1"/>
      <c r="B40" s="95"/>
      <c r="C40" s="96"/>
      <c r="D40" s="96"/>
      <c r="E40" s="96"/>
      <c r="F40" s="97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smSidMpopZQ/JrdgY9quhRn/81GbvsDqbUBPFPjbBqB2XTqmMMtHFGHgiuIM5Y4KLQALVXHJ6fRNyRFwHxrv7Q==" saltValue="Z9X05mtql1ZrIZpS/PNxEg==" spinCount="100000" sheet="1" objects="1" scenarios="1"/>
  <mergeCells count="25">
    <mergeCell ref="B3:F4"/>
    <mergeCell ref="B23:F23"/>
    <mergeCell ref="B24:D24"/>
    <mergeCell ref="B25:D25"/>
    <mergeCell ref="B26:D26"/>
    <mergeCell ref="B17:D17"/>
    <mergeCell ref="B18:D18"/>
    <mergeCell ref="B6:F6"/>
    <mergeCell ref="B7:D7"/>
    <mergeCell ref="B8:D8"/>
    <mergeCell ref="B9:D9"/>
    <mergeCell ref="B40:F40"/>
    <mergeCell ref="B14:F14"/>
    <mergeCell ref="B15:D15"/>
    <mergeCell ref="B16:D16"/>
    <mergeCell ref="B11:F11"/>
    <mergeCell ref="B20:F20"/>
    <mergeCell ref="B31:F31"/>
    <mergeCell ref="B32:D32"/>
    <mergeCell ref="B33:F33"/>
    <mergeCell ref="B27:D27"/>
    <mergeCell ref="B36:F36"/>
    <mergeCell ref="B37:D37"/>
    <mergeCell ref="B38:D38"/>
    <mergeCell ref="B39:D3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140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2" t="s">
        <v>228</v>
      </c>
      <c r="C3" s="82"/>
      <c r="D3" s="82"/>
      <c r="E3" s="82"/>
      <c r="F3" s="82"/>
      <c r="G3" s="1"/>
    </row>
    <row r="4" spans="1:7" ht="1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159</v>
      </c>
      <c r="C8" s="96"/>
      <c r="D8" s="96"/>
      <c r="E8" s="96"/>
      <c r="F8" s="96"/>
      <c r="G8" s="1"/>
    </row>
    <row r="9" spans="1:7" ht="29.25" customHeight="1" x14ac:dyDescent="0.25">
      <c r="A9" s="1"/>
      <c r="B9" s="92" t="s">
        <v>164</v>
      </c>
      <c r="C9" s="93"/>
      <c r="D9" s="94"/>
      <c r="E9" s="10">
        <f>IF((('Fane 3. Omkostninger i ØR2019'!E27+'Fane 3. Omkostninger i ØR2019'!E31)-('Fane 3. Omkostninger i ØR2019'!E27+'Fane 3. Omkostninger i ØR2019'!E31)/(1+'Fane 14. Nøgletal'!C11)^2)+IF('Fane 7. Kontrol af ØR2018'!E9*(1+'Fane 14. Nøgletal'!C10)&gt;0,(('Fane 7. Kontrol af ØR2018'!E9*(1+'Fane 14. Nøgletal'!C10)-'Fane 7. Kontrol af ØR2018'!E9*(1+'Fane 14. Nøgletal'!C10)/(1+'Fane 14. Nøgletal'!C10))/2),0)&lt;0,-((('Fane 3. Omkostninger i ØR2019'!E27+'Fane 3. Omkostninger i ØR2019'!E31)-('Fane 3. Omkostninger i ØR2019'!E27+'Fane 3. Omkostninger i ØR2019'!E31)/(1+'Fane 14. Nøgletal'!C11)^2)+('Fane 7. Kontrol af ØR2018'!E9*(1+'Fane 14. Nøgletal'!C10)-'Fane 7. Kontrol af ØR2018'!E9*(1+'Fane 14. Nøgletal'!C10)/(1+'Fane 14. Nøgletal'!C10))/2),0)</f>
        <v>0</v>
      </c>
      <c r="F9" s="11" t="s">
        <v>3</v>
      </c>
      <c r="G9" s="1"/>
    </row>
    <row r="10" spans="1:7" x14ac:dyDescent="0.25">
      <c r="A10" s="1"/>
      <c r="B10" s="46" t="s">
        <v>175</v>
      </c>
      <c r="C10" s="47"/>
      <c r="D10" s="47"/>
      <c r="E10" s="12">
        <f>E9</f>
        <v>0</v>
      </c>
      <c r="F10" s="13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oeIkpjcc6F4cBUPSvNxUj8GtfylUhlIW+k9dOT26RHxMsrL+QRj9zAT6SfcyKVaSCffWqxpth7PGOCRaO7U9rw==" saltValue="F23dOgo4M3Lww1tZsyFG/w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229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230</v>
      </c>
      <c r="C8" s="96"/>
      <c r="D8" s="96"/>
      <c r="E8" s="96"/>
      <c r="F8" s="96"/>
      <c r="G8" s="96"/>
      <c r="H8" s="97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46</v>
      </c>
      <c r="H9" s="41"/>
      <c r="I9" s="1"/>
    </row>
    <row r="10" spans="1:9" x14ac:dyDescent="0.25">
      <c r="A10" s="1"/>
      <c r="B10" s="115" t="s">
        <v>239</v>
      </c>
      <c r="C10" s="116"/>
      <c r="D10" s="9"/>
      <c r="E10" s="9"/>
      <c r="F10" s="9"/>
      <c r="G10" s="9"/>
      <c r="H10" s="14" t="s">
        <v>3</v>
      </c>
      <c r="I10" s="1"/>
    </row>
    <row r="11" spans="1:9" x14ac:dyDescent="0.25">
      <c r="A11" s="1"/>
      <c r="B11" s="95" t="s">
        <v>231</v>
      </c>
      <c r="C11" s="96"/>
      <c r="D11" s="97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uGaOjePQFtPdv8bFdzF2KIoRJwtP56G3PD/Ljq5b741hWOQlm5sXT6aR4HSzRP2nfwFyR5h61H6oyWf8kRXQbQ==" saltValue="Opq0v58g6ee+/K+u0T8zy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206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137</v>
      </c>
      <c r="C8" s="47"/>
      <c r="D8" s="47"/>
      <c r="E8" s="47"/>
      <c r="F8" s="22"/>
      <c r="G8" s="1"/>
    </row>
    <row r="9" spans="1:7" ht="17.25" customHeight="1" x14ac:dyDescent="0.25">
      <c r="A9" s="1"/>
      <c r="B9" s="42" t="s">
        <v>24</v>
      </c>
      <c r="C9" s="42" t="s">
        <v>16</v>
      </c>
      <c r="D9" s="43"/>
      <c r="E9" s="42" t="s">
        <v>47</v>
      </c>
      <c r="F9" s="41"/>
      <c r="G9" s="1"/>
    </row>
    <row r="10" spans="1:7" x14ac:dyDescent="0.25">
      <c r="A10" s="1"/>
      <c r="B10" s="27" t="s">
        <v>240</v>
      </c>
      <c r="C10" s="24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46" t="s">
        <v>63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6" t="s">
        <v>74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wJ02aQubynLIR1FLZ8VyJYFLevfS97FqcbPs7v3g4rpzE5F2ILh7zUyMogIj6C2CwPpkuO/4o7/lS3X1xUu8Ag==" saltValue="s38zNWwFHHGtj6g9InCGJ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207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168</v>
      </c>
      <c r="C8" s="96"/>
      <c r="D8" s="96"/>
      <c r="E8" s="96"/>
      <c r="F8" s="97"/>
      <c r="G8" s="1"/>
    </row>
    <row r="9" spans="1:7" x14ac:dyDescent="0.25">
      <c r="A9" s="1"/>
      <c r="B9" s="42" t="s">
        <v>24</v>
      </c>
      <c r="C9" s="42" t="s">
        <v>16</v>
      </c>
      <c r="D9" s="43"/>
      <c r="E9" s="42" t="s">
        <v>47</v>
      </c>
      <c r="F9" s="41"/>
      <c r="G9" s="1"/>
    </row>
    <row r="10" spans="1:7" x14ac:dyDescent="0.25">
      <c r="A10" s="1"/>
      <c r="B10" s="27" t="s">
        <v>238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6" t="s">
        <v>172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krav'!G10</f>
        <v>0</v>
      </c>
      <c r="D12" s="31" t="s">
        <v>3</v>
      </c>
      <c r="E12" s="30">
        <f>-E11*'Fane 5. Individuelt eff. krav'!G10</f>
        <v>0</v>
      </c>
      <c r="F12" s="31" t="s">
        <v>3</v>
      </c>
      <c r="G12" s="1"/>
    </row>
    <row r="13" spans="1:7" x14ac:dyDescent="0.25">
      <c r="A13" s="1"/>
      <c r="B13" s="29" t="s">
        <v>176</v>
      </c>
      <c r="C13" s="30">
        <f>-C11*'Fane 14. Nøgletal'!C25</f>
        <v>0</v>
      </c>
      <c r="D13" s="31" t="s">
        <v>3</v>
      </c>
      <c r="E13" s="30">
        <f>-E11*'Fane 14. Nøgletal'!C20</f>
        <v>0</v>
      </c>
      <c r="F13" s="31" t="s">
        <v>3</v>
      </c>
      <c r="G13" s="1"/>
    </row>
    <row r="14" spans="1:7" x14ac:dyDescent="0.25">
      <c r="A14" s="1"/>
      <c r="B14" s="46" t="s">
        <v>173</v>
      </c>
      <c r="C14" s="12">
        <f>SUM(C11:C13)*(1+'Fane 14. Nøgletal'!C12)^2</f>
        <v>0</v>
      </c>
      <c r="D14" s="13" t="s">
        <v>3</v>
      </c>
      <c r="E14" s="12">
        <f>SUM(E11:E13)*(1+'Fane 14.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5" t="s">
        <v>169</v>
      </c>
      <c r="C16" s="96"/>
      <c r="D16" s="96"/>
      <c r="E16" s="96"/>
      <c r="F16" s="97"/>
      <c r="G16" s="1"/>
    </row>
    <row r="17" spans="1:7" x14ac:dyDescent="0.25">
      <c r="A17" s="1"/>
      <c r="B17" s="42" t="s">
        <v>24</v>
      </c>
      <c r="C17" s="42" t="s">
        <v>16</v>
      </c>
      <c r="D17" s="43"/>
      <c r="E17" s="42" t="s">
        <v>47</v>
      </c>
      <c r="F17" s="41"/>
      <c r="G17" s="1"/>
    </row>
    <row r="18" spans="1:7" x14ac:dyDescent="0.25">
      <c r="A18" s="1"/>
      <c r="B18" s="27" t="s">
        <v>238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6" t="s">
        <v>172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krav'!G10</f>
        <v>0</v>
      </c>
      <c r="D20" s="31" t="s">
        <v>3</v>
      </c>
      <c r="E20" s="30">
        <f>-E19*'Fane 5. Individuelt eff. krav'!G10</f>
        <v>0</v>
      </c>
      <c r="F20" s="31" t="s">
        <v>3</v>
      </c>
      <c r="G20" s="1"/>
    </row>
    <row r="21" spans="1:7" x14ac:dyDescent="0.25">
      <c r="A21" s="1"/>
      <c r="B21" s="29" t="s">
        <v>176</v>
      </c>
      <c r="C21" s="30">
        <f>-C19*'Fane 14. Nøgletal'!C25</f>
        <v>0</v>
      </c>
      <c r="D21" s="31" t="s">
        <v>3</v>
      </c>
      <c r="E21" s="30">
        <f>-E19*'Fane 14. Nøgletal'!C20</f>
        <v>0</v>
      </c>
      <c r="F21" s="31" t="s">
        <v>3</v>
      </c>
      <c r="G21" s="1"/>
    </row>
    <row r="22" spans="1:7" x14ac:dyDescent="0.25">
      <c r="A22" s="1"/>
      <c r="B22" s="46" t="s">
        <v>174</v>
      </c>
      <c r="C22" s="12">
        <f>SUM(C19:C21)*(1+'Fane 14. Nøgletal'!C12)^3</f>
        <v>0</v>
      </c>
      <c r="D22" s="13" t="s">
        <v>3</v>
      </c>
      <c r="E22" s="12">
        <f>SUM(E19:E21)*(1+'Fane 14.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5" t="s">
        <v>170</v>
      </c>
      <c r="C24" s="96"/>
      <c r="D24" s="96"/>
      <c r="E24" s="96"/>
      <c r="F24" s="97"/>
      <c r="G24" s="1"/>
    </row>
    <row r="25" spans="1:7" x14ac:dyDescent="0.25">
      <c r="A25" s="1"/>
      <c r="B25" s="42" t="s">
        <v>24</v>
      </c>
      <c r="C25" s="42" t="s">
        <v>16</v>
      </c>
      <c r="D25" s="43"/>
      <c r="E25" s="42" t="s">
        <v>47</v>
      </c>
      <c r="F25" s="41"/>
      <c r="G25" s="1"/>
    </row>
    <row r="26" spans="1:7" x14ac:dyDescent="0.25">
      <c r="A26" s="1"/>
      <c r="B26" s="27" t="s">
        <v>238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6" t="s">
        <v>172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krav'!G10</f>
        <v>0</v>
      </c>
      <c r="D28" s="31" t="s">
        <v>3</v>
      </c>
      <c r="E28" s="30">
        <f>-E27*'Fane 5. Individuelt eff. krav'!G10</f>
        <v>0</v>
      </c>
      <c r="F28" s="31" t="s">
        <v>3</v>
      </c>
      <c r="G28" s="1"/>
    </row>
    <row r="29" spans="1:7" x14ac:dyDescent="0.25">
      <c r="A29" s="1"/>
      <c r="B29" s="29" t="s">
        <v>176</v>
      </c>
      <c r="C29" s="30">
        <f>-C27*'Fane 14. Nøgletal'!C25</f>
        <v>0</v>
      </c>
      <c r="D29" s="31" t="s">
        <v>3</v>
      </c>
      <c r="E29" s="30">
        <f>-E27*'Fane 14. Nøgletal'!C20</f>
        <v>0</v>
      </c>
      <c r="F29" s="31" t="s">
        <v>3</v>
      </c>
      <c r="G29" s="1"/>
    </row>
    <row r="30" spans="1:7" x14ac:dyDescent="0.25">
      <c r="A30" s="1"/>
      <c r="B30" s="46" t="s">
        <v>174</v>
      </c>
      <c r="C30" s="12">
        <f>SUM(C27:C29)*(1+'Fane 14. Nøgletal'!C12)^4</f>
        <v>0</v>
      </c>
      <c r="D30" s="13" t="s">
        <v>3</v>
      </c>
      <c r="E30" s="12">
        <f>SUM(E27:E29)*(1+'Fane 14.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5" t="s">
        <v>171</v>
      </c>
      <c r="C32" s="96"/>
      <c r="D32" s="96"/>
      <c r="E32" s="96"/>
      <c r="F32" s="97"/>
      <c r="G32" s="1"/>
    </row>
    <row r="33" spans="1:7" x14ac:dyDescent="0.25">
      <c r="A33" s="1"/>
      <c r="B33" s="42" t="s">
        <v>24</v>
      </c>
      <c r="C33" s="42" t="s">
        <v>16</v>
      </c>
      <c r="D33" s="43"/>
      <c r="E33" s="42" t="s">
        <v>47</v>
      </c>
      <c r="F33" s="41"/>
      <c r="G33" s="1"/>
    </row>
    <row r="34" spans="1:7" x14ac:dyDescent="0.25">
      <c r="A34" s="1"/>
      <c r="B34" s="27" t="s">
        <v>238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6" t="s">
        <v>172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krav'!G10</f>
        <v>0</v>
      </c>
      <c r="D36" s="31" t="s">
        <v>3</v>
      </c>
      <c r="E36" s="30">
        <f>-E35*'Fane 5. Individuelt eff. krav'!G10</f>
        <v>0</v>
      </c>
      <c r="F36" s="31" t="s">
        <v>3</v>
      </c>
      <c r="G36" s="1"/>
    </row>
    <row r="37" spans="1:7" x14ac:dyDescent="0.25">
      <c r="A37" s="1"/>
      <c r="B37" s="29" t="s">
        <v>176</v>
      </c>
      <c r="C37" s="30">
        <f>-C35*'Fane 14. Nøgletal'!C25</f>
        <v>0</v>
      </c>
      <c r="D37" s="31" t="s">
        <v>3</v>
      </c>
      <c r="E37" s="30">
        <f>-E35*'Fane 14. Nøgletal'!C20</f>
        <v>0</v>
      </c>
      <c r="F37" s="31" t="s">
        <v>3</v>
      </c>
      <c r="G37" s="1"/>
    </row>
    <row r="38" spans="1:7" x14ac:dyDescent="0.25">
      <c r="A38" s="1"/>
      <c r="B38" s="46" t="s">
        <v>174</v>
      </c>
      <c r="C38" s="12">
        <f>SUM(C35:C37)*(1+'Fane 14. Nøgletal'!C12)^5</f>
        <v>0</v>
      </c>
      <c r="D38" s="13" t="s">
        <v>3</v>
      </c>
      <c r="E38" s="12">
        <f>SUM(E35:E37)*(1+'Fane 14.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QDiUPtBmpaAflLTN1FS82qIgE4bC9IqNVoWR+frPjE1ptPnJeVsVbOCyPyj/siC73Pv3GckpuSowSuntG7qNig==" saltValue="kRy8Y7nUfrvb0jdRkGTcq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208</v>
      </c>
      <c r="C3" s="82"/>
      <c r="D3" s="82"/>
      <c r="E3" s="82"/>
      <c r="F3" s="82"/>
      <c r="G3" s="1"/>
    </row>
    <row r="4" spans="1:7" ht="25.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31</v>
      </c>
      <c r="C8" s="96"/>
      <c r="D8" s="96"/>
      <c r="E8" s="96"/>
      <c r="F8" s="97"/>
      <c r="G8" s="1"/>
    </row>
    <row r="9" spans="1:7" ht="15" customHeight="1" x14ac:dyDescent="0.25">
      <c r="A9" s="1"/>
      <c r="B9" s="40" t="s">
        <v>32</v>
      </c>
      <c r="C9" s="92" t="s">
        <v>16</v>
      </c>
      <c r="D9" s="94"/>
      <c r="E9" s="92" t="s">
        <v>47</v>
      </c>
      <c r="F9" s="94"/>
      <c r="G9" s="1"/>
    </row>
    <row r="10" spans="1:7" x14ac:dyDescent="0.25">
      <c r="A10" s="1"/>
      <c r="B10" s="27" t="s">
        <v>232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76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uiy41nY3vKXvfyvQkLalui1p6c/dQnDnJz/DHfdHuekHjcif47wR4XMFjgDTzuRxGYVD42oACapjtwQaU6mHNA==" saltValue="cKkL/AbaONbsTEAk90SMv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209</v>
      </c>
      <c r="C3" s="82"/>
      <c r="D3" s="82"/>
      <c r="E3" s="82"/>
      <c r="F3" s="82"/>
      <c r="G3" s="1"/>
    </row>
    <row r="4" spans="1:7" ht="25.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156</v>
      </c>
      <c r="C8" s="96"/>
      <c r="D8" s="96"/>
      <c r="E8" s="96"/>
      <c r="F8" s="97"/>
      <c r="G8" s="1"/>
    </row>
    <row r="9" spans="1:7" ht="15" customHeight="1" x14ac:dyDescent="0.25">
      <c r="A9" s="1"/>
      <c r="B9" s="40" t="s">
        <v>25</v>
      </c>
      <c r="C9" s="40" t="s">
        <v>16</v>
      </c>
      <c r="D9" s="41"/>
      <c r="E9" s="40" t="s">
        <v>47</v>
      </c>
      <c r="F9" s="41"/>
      <c r="G9" s="1"/>
    </row>
    <row r="10" spans="1:7" x14ac:dyDescent="0.25">
      <c r="A10" s="1"/>
      <c r="B10" s="27" t="s">
        <v>233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6" t="s">
        <v>64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6" t="s">
        <v>75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95" t="s">
        <v>157</v>
      </c>
      <c r="C15" s="96"/>
      <c r="D15" s="96"/>
      <c r="E15" s="96"/>
      <c r="F15" s="97"/>
      <c r="G15" s="1"/>
    </row>
    <row r="16" spans="1:7" ht="26.25" x14ac:dyDescent="0.25">
      <c r="A16" s="1"/>
      <c r="B16" s="40" t="s">
        <v>25</v>
      </c>
      <c r="C16" s="40" t="s">
        <v>16</v>
      </c>
      <c r="D16" s="41"/>
      <c r="E16" s="40" t="s">
        <v>47</v>
      </c>
      <c r="F16" s="41"/>
      <c r="G16" s="1"/>
    </row>
    <row r="17" spans="1:7" x14ac:dyDescent="0.25">
      <c r="A17" s="1"/>
      <c r="B17" s="27" t="s">
        <v>233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46" t="s">
        <v>64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46" t="s">
        <v>148</v>
      </c>
      <c r="C19" s="12">
        <f>C18*(1+'Fane 14. Nøgletal'!C12)^2</f>
        <v>0</v>
      </c>
      <c r="D19" s="13" t="s">
        <v>3</v>
      </c>
      <c r="E19" s="12">
        <f>E18*(1+'Fane 14. Nøgletal'!C12)^2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95" t="s">
        <v>155</v>
      </c>
      <c r="C22" s="96"/>
      <c r="D22" s="96"/>
      <c r="E22" s="96"/>
      <c r="F22" s="97"/>
      <c r="G22" s="1"/>
    </row>
    <row r="23" spans="1:7" ht="26.25" x14ac:dyDescent="0.25">
      <c r="A23" s="1"/>
      <c r="B23" s="40" t="s">
        <v>25</v>
      </c>
      <c r="C23" s="40" t="s">
        <v>16</v>
      </c>
      <c r="D23" s="41"/>
      <c r="E23" s="40" t="s">
        <v>47</v>
      </c>
      <c r="F23" s="41"/>
      <c r="G23" s="1"/>
    </row>
    <row r="24" spans="1:7" x14ac:dyDescent="0.25">
      <c r="A24" s="1"/>
      <c r="B24" s="27" t="s">
        <v>233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46" t="s">
        <v>64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46" t="s">
        <v>149</v>
      </c>
      <c r="C26" s="12">
        <f>C25*(1+'Fane 14. Nøgletal'!C12)^3</f>
        <v>0</v>
      </c>
      <c r="D26" s="13" t="s">
        <v>3</v>
      </c>
      <c r="E26" s="12">
        <f>E25*(1+'Fane 14. Nøgletal'!C12)^3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5" t="s">
        <v>158</v>
      </c>
      <c r="C29" s="96"/>
      <c r="D29" s="96"/>
      <c r="E29" s="96"/>
      <c r="F29" s="97"/>
      <c r="G29" s="1"/>
    </row>
    <row r="30" spans="1:7" ht="26.25" x14ac:dyDescent="0.25">
      <c r="A30" s="1"/>
      <c r="B30" s="40" t="s">
        <v>25</v>
      </c>
      <c r="C30" s="40" t="s">
        <v>16</v>
      </c>
      <c r="D30" s="41"/>
      <c r="E30" s="40" t="s">
        <v>47</v>
      </c>
      <c r="F30" s="41"/>
      <c r="G30" s="1"/>
    </row>
    <row r="31" spans="1:7" x14ac:dyDescent="0.25">
      <c r="A31" s="1"/>
      <c r="B31" s="27" t="s">
        <v>233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46" t="s">
        <v>64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46" t="s">
        <v>150</v>
      </c>
      <c r="C33" s="12">
        <f>C32*(1+'Fane 14. Nøgletal'!C12)^4</f>
        <v>0</v>
      </c>
      <c r="D33" s="13" t="s">
        <v>3</v>
      </c>
      <c r="E33" s="12">
        <f>E32*(1+'Fane 14. Nøgletal'!C12)^4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ilt6je4f0B607OG79/MdICyK1qMG8Y7mHSus0JyAo5gIsFP09KDsvKZJMlMRSGatVu7gQDsGIjTtiuHzNmGvHg==" saltValue="MpEHLhkD0AaV3IF8LjBxKA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210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18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8" t="s">
        <v>12</v>
      </c>
      <c r="C9" s="99"/>
      <c r="D9" s="99"/>
      <c r="E9" s="99"/>
      <c r="F9" s="100"/>
      <c r="G9" s="9">
        <v>4886313</v>
      </c>
      <c r="H9" s="14" t="s">
        <v>3</v>
      </c>
      <c r="I9" s="1"/>
    </row>
    <row r="10" spans="1:9" x14ac:dyDescent="0.25">
      <c r="A10" s="1"/>
      <c r="B10" s="98" t="s">
        <v>135</v>
      </c>
      <c r="C10" s="99"/>
      <c r="D10" s="99"/>
      <c r="E10" s="99"/>
      <c r="F10" s="100"/>
      <c r="G10" s="9">
        <v>0</v>
      </c>
      <c r="H10" s="14" t="s">
        <v>3</v>
      </c>
      <c r="I10" s="1"/>
    </row>
    <row r="11" spans="1:9" x14ac:dyDescent="0.25">
      <c r="A11" s="1"/>
      <c r="B11" s="98" t="s">
        <v>80</v>
      </c>
      <c r="C11" s="99"/>
      <c r="D11" s="99"/>
      <c r="E11" s="99"/>
      <c r="F11" s="100"/>
      <c r="G11" s="9">
        <v>-4501242.9074074076</v>
      </c>
      <c r="H11" s="14" t="s">
        <v>3</v>
      </c>
      <c r="I11" s="1"/>
    </row>
    <row r="12" spans="1:9" x14ac:dyDescent="0.25">
      <c r="A12" s="1"/>
      <c r="B12" s="112" t="s">
        <v>15</v>
      </c>
      <c r="C12" s="113"/>
      <c r="D12" s="113"/>
      <c r="E12" s="113"/>
      <c r="F12" s="114"/>
      <c r="G12" s="19">
        <f>(G9+G10)+G11</f>
        <v>385070.09259259235</v>
      </c>
      <c r="H12" s="18" t="s">
        <v>3</v>
      </c>
      <c r="I12" s="1"/>
    </row>
    <row r="13" spans="1:9" x14ac:dyDescent="0.25">
      <c r="A13" s="1"/>
      <c r="B13" s="98" t="s">
        <v>13</v>
      </c>
      <c r="C13" s="99"/>
      <c r="D13" s="99"/>
      <c r="E13" s="99"/>
      <c r="F13" s="100"/>
      <c r="G13" s="9">
        <v>1</v>
      </c>
      <c r="H13" s="14" t="s">
        <v>27</v>
      </c>
      <c r="I13" s="1"/>
    </row>
    <row r="14" spans="1:9" x14ac:dyDescent="0.25">
      <c r="A14" s="1"/>
      <c r="B14" s="95" t="s">
        <v>136</v>
      </c>
      <c r="C14" s="96"/>
      <c r="D14" s="96"/>
      <c r="E14" s="96"/>
      <c r="F14" s="97"/>
      <c r="G14" s="12">
        <f>IF(G13 = 0,0,-G12/G13)</f>
        <v>-385070.09259259235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JQbjLg1+1qhHa16RimujKXkQh7nwl6EGfo+sjiu9M3l+n6EG7C8OQ+aUZr9OYdYYYbRpOBZ13JpBvpHESl8cZw==" saltValue="Y/XiJNDP+fygfc9YF9Jp1A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0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2" t="s">
        <v>54</v>
      </c>
      <c r="C3" s="82"/>
      <c r="D3" s="1"/>
    </row>
    <row r="4" spans="1:4" ht="25.5" customHeight="1" x14ac:dyDescent="0.25">
      <c r="A4" s="1"/>
      <c r="B4" s="82"/>
      <c r="C4" s="82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21</v>
      </c>
      <c r="C8" s="22"/>
      <c r="D8" s="1"/>
    </row>
    <row r="9" spans="1:4" x14ac:dyDescent="0.25">
      <c r="A9" s="1"/>
      <c r="B9" s="48" t="s">
        <v>211</v>
      </c>
      <c r="C9" s="28">
        <v>1.2699999999999999E-2</v>
      </c>
      <c r="D9" s="1"/>
    </row>
    <row r="10" spans="1:4" x14ac:dyDescent="0.25">
      <c r="A10" s="1"/>
      <c r="B10" s="48" t="s">
        <v>30</v>
      </c>
      <c r="C10" s="28">
        <v>1.7500000000000002E-2</v>
      </c>
      <c r="D10" s="1"/>
    </row>
    <row r="11" spans="1:4" x14ac:dyDescent="0.25">
      <c r="A11" s="1"/>
      <c r="B11" s="48" t="s">
        <v>212</v>
      </c>
      <c r="C11" s="28">
        <v>1.6899999999999998E-2</v>
      </c>
      <c r="D11" s="1"/>
    </row>
    <row r="12" spans="1:4" x14ac:dyDescent="0.25">
      <c r="A12" s="1"/>
      <c r="B12" s="35" t="s">
        <v>73</v>
      </c>
      <c r="C12" s="36">
        <v>1.9699999999999999E-2</v>
      </c>
      <c r="D12" s="1"/>
    </row>
    <row r="13" spans="1:4" x14ac:dyDescent="0.25">
      <c r="A13" s="1"/>
      <c r="B13" s="95"/>
      <c r="C13" s="9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181</v>
      </c>
      <c r="C16" s="22"/>
      <c r="D16" s="1"/>
    </row>
    <row r="17" spans="1:4" x14ac:dyDescent="0.25">
      <c r="A17" s="1"/>
      <c r="B17" s="48" t="s">
        <v>213</v>
      </c>
      <c r="C17" s="25">
        <v>9.1000000000000004E-3</v>
      </c>
      <c r="D17" s="1"/>
    </row>
    <row r="18" spans="1:4" x14ac:dyDescent="0.25">
      <c r="A18" s="1"/>
      <c r="B18" s="48" t="s">
        <v>214</v>
      </c>
      <c r="C18" s="25">
        <v>1.77E-2</v>
      </c>
      <c r="D18" s="1"/>
    </row>
    <row r="19" spans="1:4" x14ac:dyDescent="0.25">
      <c r="A19" s="1"/>
      <c r="B19" s="48" t="s">
        <v>215</v>
      </c>
      <c r="C19" s="25">
        <v>8.6999999999999994E-3</v>
      </c>
      <c r="D19" s="1"/>
    </row>
    <row r="20" spans="1:4" x14ac:dyDescent="0.25">
      <c r="A20" s="1"/>
      <c r="B20" s="48" t="s">
        <v>216</v>
      </c>
      <c r="C20" s="37">
        <v>2.8400000000000002E-2</v>
      </c>
      <c r="D20" s="1"/>
    </row>
    <row r="21" spans="1:4" x14ac:dyDescent="0.25">
      <c r="A21" s="1"/>
      <c r="B21" s="46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6" t="s">
        <v>182</v>
      </c>
      <c r="C24" s="22"/>
      <c r="D24" s="1"/>
    </row>
    <row r="25" spans="1:4" x14ac:dyDescent="0.25">
      <c r="A25" s="1"/>
      <c r="B25" s="48" t="s">
        <v>217</v>
      </c>
      <c r="C25" s="28">
        <v>0.02</v>
      </c>
      <c r="D25" s="1"/>
    </row>
    <row r="26" spans="1:4" x14ac:dyDescent="0.25">
      <c r="A26" s="1"/>
      <c r="B26" s="46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</sheetData>
  <sheetProtection algorithmName="SHA-512" hashValue="Tb71FlY8ZD9kcIo4/kj+aL6PBVsg1l2vFfBRE/CxEeO/YUvjgBXmYHz0ke7pxumuCyDLKZ3WuKQJ3ZncgV7SJg==" saltValue="zjU5JoOADcDu8Qk9iWVs8Q==" spinCount="100000" sheet="1" objects="1" scenarios="1"/>
  <mergeCells count="2">
    <mergeCell ref="B3:C4"/>
    <mergeCell ref="B13:C13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52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65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6" t="s">
        <v>20</v>
      </c>
      <c r="C8" s="47"/>
      <c r="D8" s="22"/>
      <c r="E8" s="1"/>
    </row>
    <row r="9" spans="1:5" x14ac:dyDescent="0.25">
      <c r="A9" s="1"/>
      <c r="B9" s="45" t="s">
        <v>34</v>
      </c>
      <c r="C9" s="7">
        <f>'Fane 3. Omkostninger i ØR2019'!E23</f>
        <v>26013721.870442968</v>
      </c>
      <c r="D9" s="8" t="s">
        <v>3</v>
      </c>
      <c r="E9" s="1"/>
    </row>
    <row r="10" spans="1:5" x14ac:dyDescent="0.25">
      <c r="A10" s="1"/>
      <c r="B10" s="45" t="s">
        <v>235</v>
      </c>
      <c r="C10" s="7">
        <v>1536</v>
      </c>
      <c r="D10" s="8" t="s">
        <v>3</v>
      </c>
      <c r="E10" s="1"/>
    </row>
    <row r="11" spans="1:5" ht="17.100000000000001" customHeight="1" x14ac:dyDescent="0.25">
      <c r="A11" s="1"/>
      <c r="B11" s="32" t="s">
        <v>67</v>
      </c>
      <c r="C11" s="7">
        <f>'Fane 10.1. Varige tillæg'!C12</f>
        <v>0</v>
      </c>
      <c r="D11" s="8" t="s">
        <v>3</v>
      </c>
      <c r="E11" s="1"/>
    </row>
    <row r="12" spans="1:5" ht="17.100000000000001" customHeight="1" x14ac:dyDescent="0.25">
      <c r="A12" s="1"/>
      <c r="B12" s="32" t="s">
        <v>68</v>
      </c>
      <c r="C12" s="9">
        <f>'Fane 10.1. Varige tillæg'!E12</f>
        <v>0</v>
      </c>
      <c r="D12" s="8" t="s">
        <v>3</v>
      </c>
      <c r="E12" s="1"/>
    </row>
    <row r="13" spans="1:5" ht="17.100000000000001" customHeight="1" x14ac:dyDescent="0.25">
      <c r="A13" s="1"/>
      <c r="B13" s="32" t="s">
        <v>41</v>
      </c>
      <c r="C13" s="9">
        <f>-'Fane 12. Bortfald'!C12</f>
        <v>0</v>
      </c>
      <c r="D13" s="8" t="s">
        <v>3</v>
      </c>
      <c r="E13" s="1"/>
    </row>
    <row r="14" spans="1:5" ht="17.100000000000001" customHeight="1" x14ac:dyDescent="0.25">
      <c r="A14" s="1"/>
      <c r="B14" s="32" t="s">
        <v>40</v>
      </c>
      <c r="C14" s="9">
        <f>-'Fane 12. Bortfald'!E12</f>
        <v>0</v>
      </c>
      <c r="D14" s="8" t="s">
        <v>3</v>
      </c>
      <c r="E14" s="1"/>
    </row>
    <row r="15" spans="1:5" ht="17.100000000000001" customHeight="1" x14ac:dyDescent="0.25">
      <c r="A15" s="1"/>
      <c r="B15" s="32" t="s">
        <v>43</v>
      </c>
      <c r="C15" s="9">
        <f>'Fane 11. Tilknyttet aktivitet'!C12</f>
        <v>0</v>
      </c>
      <c r="D15" s="8" t="s">
        <v>3</v>
      </c>
      <c r="E15" s="1"/>
    </row>
    <row r="16" spans="1:5" ht="17.100000000000001" customHeight="1" x14ac:dyDescent="0.25">
      <c r="A16" s="1"/>
      <c r="B16" s="32" t="s">
        <v>42</v>
      </c>
      <c r="C16" s="9">
        <f>'Fane 11. Tilknyttet aktivitet'!E12</f>
        <v>0</v>
      </c>
      <c r="D16" s="8" t="s">
        <v>3</v>
      </c>
      <c r="E16" s="1"/>
    </row>
    <row r="17" spans="1:5" ht="17.100000000000001" customHeight="1" x14ac:dyDescent="0.25">
      <c r="A17" s="1"/>
      <c r="B17" s="32" t="s">
        <v>26</v>
      </c>
      <c r="C17" s="9">
        <f>SUM(C9:C10)*'Fane 14. Nøgletal'!C11+SUM(C11:C16)*'Fane 14. Nøgletal'!C12</f>
        <v>439657.85801048612</v>
      </c>
      <c r="D17" s="8" t="s">
        <v>3</v>
      </c>
      <c r="E17" s="1"/>
    </row>
    <row r="18" spans="1:5" ht="17.100000000000001" customHeight="1" x14ac:dyDescent="0.25">
      <c r="A18" s="1"/>
      <c r="B18" s="32" t="s">
        <v>10</v>
      </c>
      <c r="C18" s="9">
        <f>-SUM(C9:C17)*'Fane 5. Individuelt eff. krav'!G10</f>
        <v>-88169.398691432609</v>
      </c>
      <c r="D18" s="8" t="s">
        <v>3</v>
      </c>
      <c r="E18" s="1"/>
    </row>
    <row r="19" spans="1:5" ht="17.100000000000001" customHeight="1" x14ac:dyDescent="0.25">
      <c r="A19" s="1"/>
      <c r="B19" s="32" t="s">
        <v>38</v>
      </c>
      <c r="C19" s="9">
        <f>-'Fane 4.1. Gen. krav - drift'!G26</f>
        <v>-209023.65514675225</v>
      </c>
      <c r="D19" s="8" t="s">
        <v>3</v>
      </c>
      <c r="E19" s="1"/>
    </row>
    <row r="20" spans="1:5" ht="17.100000000000001" customHeight="1" x14ac:dyDescent="0.25">
      <c r="A20" s="1"/>
      <c r="B20" s="32" t="s">
        <v>39</v>
      </c>
      <c r="C20" s="9">
        <f>-'Fane 4.2. Gen. krav - anlæg'!G25</f>
        <v>-147070.68531910292</v>
      </c>
      <c r="D20" s="8" t="s">
        <v>3</v>
      </c>
      <c r="E20" s="1"/>
    </row>
    <row r="21" spans="1:5" ht="17.100000000000001" customHeight="1" x14ac:dyDescent="0.25">
      <c r="A21" s="1"/>
      <c r="B21" s="50" t="s">
        <v>28</v>
      </c>
      <c r="C21" s="10">
        <f>SUM(C9:C20)</f>
        <v>26010651.989296164</v>
      </c>
      <c r="D21" s="11" t="s">
        <v>3</v>
      </c>
      <c r="E21" s="1"/>
    </row>
    <row r="22" spans="1:5" ht="15" customHeight="1" x14ac:dyDescent="0.25">
      <c r="A22" s="1"/>
      <c r="B22" s="46" t="s">
        <v>17</v>
      </c>
      <c r="C22" s="47"/>
      <c r="D22" s="22"/>
      <c r="E22" s="1"/>
    </row>
    <row r="23" spans="1:5" ht="15" customHeight="1" x14ac:dyDescent="0.25">
      <c r="A23" s="1"/>
      <c r="B23" s="40" t="s">
        <v>17</v>
      </c>
      <c r="C23" s="10">
        <f>'Fane 6. Ikke-påvirkelige omk.'!C13</f>
        <v>20878194.120199021</v>
      </c>
      <c r="D23" s="11" t="s">
        <v>3</v>
      </c>
      <c r="E23" s="1"/>
    </row>
    <row r="24" spans="1:5" ht="15" customHeight="1" x14ac:dyDescent="0.25">
      <c r="A24" s="1"/>
      <c r="B24" s="46" t="s">
        <v>142</v>
      </c>
      <c r="C24" s="47"/>
      <c r="D24" s="22"/>
      <c r="E24" s="1"/>
    </row>
    <row r="25" spans="1:5" ht="15" customHeight="1" x14ac:dyDescent="0.25">
      <c r="A25" s="1"/>
      <c r="B25" s="32" t="s">
        <v>138</v>
      </c>
      <c r="C25" s="9">
        <f>'Fane 10.2. Engangstillæg'!C14</f>
        <v>0</v>
      </c>
      <c r="D25" s="8" t="s">
        <v>3</v>
      </c>
      <c r="E25" s="1"/>
    </row>
    <row r="26" spans="1:5" ht="15" customHeight="1" x14ac:dyDescent="0.25">
      <c r="A26" s="1"/>
      <c r="B26" s="32" t="s">
        <v>139</v>
      </c>
      <c r="C26" s="9">
        <f>'Fane 10.2. Engangstillæg'!E14</f>
        <v>0</v>
      </c>
      <c r="D26" s="8" t="s">
        <v>3</v>
      </c>
      <c r="E26" s="1"/>
    </row>
    <row r="27" spans="1:5" x14ac:dyDescent="0.25">
      <c r="A27" s="1"/>
      <c r="B27" s="50" t="s">
        <v>143</v>
      </c>
      <c r="C27" s="10">
        <f>SUM(C25:C26)</f>
        <v>0</v>
      </c>
      <c r="D27" s="11" t="s">
        <v>3</v>
      </c>
      <c r="E27" s="1"/>
    </row>
    <row r="28" spans="1:5" x14ac:dyDescent="0.25">
      <c r="A28" s="1"/>
      <c r="B28" s="46" t="s">
        <v>11</v>
      </c>
      <c r="C28" s="47"/>
      <c r="D28" s="22"/>
      <c r="E28" s="1"/>
    </row>
    <row r="29" spans="1:5" ht="15" customHeight="1" x14ac:dyDescent="0.25">
      <c r="A29" s="1"/>
      <c r="B29" s="40" t="s">
        <v>19</v>
      </c>
      <c r="C29" s="10">
        <f>'Fane 13. Hist. over-underdæk.'!G14</f>
        <v>-385070.09259259235</v>
      </c>
      <c r="D29" s="11" t="s">
        <v>3</v>
      </c>
      <c r="E29" s="1"/>
    </row>
    <row r="30" spans="1:5" ht="15" customHeight="1" x14ac:dyDescent="0.25">
      <c r="A30" s="1"/>
      <c r="B30" s="46" t="s">
        <v>53</v>
      </c>
      <c r="C30" s="47"/>
      <c r="D30" s="22"/>
      <c r="E30" s="1"/>
    </row>
    <row r="31" spans="1:5" x14ac:dyDescent="0.25">
      <c r="A31" s="1"/>
      <c r="B31" s="40" t="s">
        <v>218</v>
      </c>
      <c r="C31" s="10">
        <f>'Fane 7. Kontrol af ØR2018'!E32</f>
        <v>3846475.4648973807</v>
      </c>
      <c r="D31" s="11" t="s">
        <v>3</v>
      </c>
      <c r="E31" s="1"/>
    </row>
    <row r="32" spans="1:5" x14ac:dyDescent="0.25">
      <c r="A32" s="1"/>
      <c r="B32" s="46" t="s">
        <v>225</v>
      </c>
      <c r="C32" s="47"/>
      <c r="D32" s="22"/>
      <c r="E32" s="1"/>
    </row>
    <row r="33" spans="1:5" x14ac:dyDescent="0.25">
      <c r="A33" s="1"/>
      <c r="B33" s="40" t="s">
        <v>226</v>
      </c>
      <c r="C33" s="10">
        <f>'Fane 8. Korrektioner'!E10</f>
        <v>0</v>
      </c>
      <c r="D33" s="11" t="s">
        <v>3</v>
      </c>
      <c r="E33" s="1"/>
    </row>
    <row r="34" spans="1:5" x14ac:dyDescent="0.25">
      <c r="A34" s="1"/>
      <c r="B34" s="46" t="s">
        <v>243</v>
      </c>
      <c r="C34" s="47"/>
      <c r="D34" s="22"/>
      <c r="E34" s="1"/>
    </row>
    <row r="35" spans="1:5" x14ac:dyDescent="0.25">
      <c r="A35" s="1"/>
      <c r="B35" s="40" t="s">
        <v>244</v>
      </c>
      <c r="C35" s="10">
        <v>1536</v>
      </c>
      <c r="D35" s="11" t="s">
        <v>3</v>
      </c>
      <c r="E35" s="1"/>
    </row>
    <row r="36" spans="1:5" x14ac:dyDescent="0.25">
      <c r="A36" s="1"/>
      <c r="B36" s="46" t="s">
        <v>35</v>
      </c>
      <c r="C36" s="33">
        <f>SUM(C21,C23,C27,C29,C31,C33,C35)</f>
        <v>50351787.481799975</v>
      </c>
      <c r="D36" s="22" t="s">
        <v>3</v>
      </c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</sheetData>
  <sheetProtection algorithmName="SHA-512" hashValue="TbkVCHJTTBkgzz35frundFX5i15pOTxJSCunLdd/OAhsK8YfWNXsNaEaCuBS50nGd1PlWUJoiE6T02bdZy9XnQ==" saltValue="10Y+8ywZZw6gLWYibOKag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85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6" t="s">
        <v>20</v>
      </c>
      <c r="C8" s="47"/>
      <c r="D8" s="22"/>
      <c r="E8" s="1"/>
    </row>
    <row r="9" spans="1:5" ht="15" customHeight="1" x14ac:dyDescent="0.25">
      <c r="A9" s="1"/>
      <c r="B9" s="45" t="s">
        <v>36</v>
      </c>
      <c r="C9" s="7">
        <f>'Fane 2.1. Økonomisk ramme 2020'!C21</f>
        <v>26010651.989296164</v>
      </c>
      <c r="D9" s="8" t="s">
        <v>3</v>
      </c>
      <c r="E9" s="1"/>
    </row>
    <row r="10" spans="1:5" ht="15" customHeight="1" x14ac:dyDescent="0.25">
      <c r="A10" s="1"/>
      <c r="B10" s="32" t="s">
        <v>41</v>
      </c>
      <c r="C10" s="7">
        <f>-'Fane 12. Bortfald'!C19</f>
        <v>0</v>
      </c>
      <c r="D10" s="8" t="s">
        <v>3</v>
      </c>
      <c r="E10" s="1"/>
    </row>
    <row r="11" spans="1:5" ht="15" customHeight="1" x14ac:dyDescent="0.25">
      <c r="A11" s="1"/>
      <c r="B11" s="32" t="s">
        <v>40</v>
      </c>
      <c r="C11" s="7">
        <f>-'Fane 12. Bortfald'!E19</f>
        <v>0</v>
      </c>
      <c r="D11" s="8" t="s">
        <v>3</v>
      </c>
      <c r="E11" s="1"/>
    </row>
    <row r="12" spans="1:5" ht="15" customHeight="1" x14ac:dyDescent="0.25">
      <c r="A12" s="1"/>
      <c r="B12" s="38" t="s">
        <v>26</v>
      </c>
      <c r="C12" s="9">
        <f>SUM(C9:C11)*'Fane 14. Nøgletal'!C12</f>
        <v>512409.84418913443</v>
      </c>
      <c r="D12" s="8" t="s">
        <v>3</v>
      </c>
      <c r="E12" s="1"/>
    </row>
    <row r="13" spans="1:5" ht="15" customHeight="1" x14ac:dyDescent="0.25">
      <c r="A13" s="1"/>
      <c r="B13" s="38" t="s">
        <v>10</v>
      </c>
      <c r="C13" s="9">
        <f>-SUM(C9:C12)*'Fane 5. Individuelt eff. krav'!G10</f>
        <v>-88396.517203753509</v>
      </c>
      <c r="D13" s="8" t="s">
        <v>3</v>
      </c>
      <c r="E13" s="1"/>
    </row>
    <row r="14" spans="1:5" ht="15" customHeight="1" x14ac:dyDescent="0.25">
      <c r="A14" s="1"/>
      <c r="B14" s="38" t="s">
        <v>38</v>
      </c>
      <c r="C14" s="9">
        <f>-'Fane 4.1. Gen. krav - drift'!G32</f>
        <v>-208878.59273008045</v>
      </c>
      <c r="D14" s="8" t="s">
        <v>3</v>
      </c>
      <c r="E14" s="1"/>
    </row>
    <row r="15" spans="1:5" ht="15" customHeight="1" x14ac:dyDescent="0.25">
      <c r="A15" s="1"/>
      <c r="B15" s="38" t="s">
        <v>39</v>
      </c>
      <c r="C15" s="9">
        <f>-'Fane 4.2. Gen. krav - anlæg'!G31</f>
        <v>-485291.5496695537</v>
      </c>
      <c r="D15" s="8" t="s">
        <v>3</v>
      </c>
      <c r="E15" s="1"/>
    </row>
    <row r="16" spans="1:5" ht="15" customHeight="1" x14ac:dyDescent="0.25">
      <c r="A16" s="1"/>
      <c r="B16" s="39" t="s">
        <v>28</v>
      </c>
      <c r="C16" s="10">
        <f>SUM(C9:C15)</f>
        <v>25740495.173881914</v>
      </c>
      <c r="D16" s="11" t="s">
        <v>3</v>
      </c>
      <c r="E16" s="1"/>
    </row>
    <row r="17" spans="1:5" x14ac:dyDescent="0.25">
      <c r="A17" s="1"/>
      <c r="B17" s="46" t="s">
        <v>17</v>
      </c>
      <c r="C17" s="47"/>
      <c r="D17" s="22"/>
      <c r="E17" s="1"/>
    </row>
    <row r="18" spans="1:5" ht="15" customHeight="1" x14ac:dyDescent="0.25">
      <c r="A18" s="1"/>
      <c r="B18" s="40" t="s">
        <v>17</v>
      </c>
      <c r="C18" s="10">
        <f>'Fane 6. Ikke-påvirkelige omk.'!C13*(1+'Fane 14. Nøgletal'!C12)</f>
        <v>21289494.544366945</v>
      </c>
      <c r="D18" s="11" t="s">
        <v>3</v>
      </c>
      <c r="E18" s="1"/>
    </row>
    <row r="19" spans="1:5" ht="15" customHeight="1" x14ac:dyDescent="0.25">
      <c r="A19" s="1"/>
      <c r="B19" s="46" t="s">
        <v>142</v>
      </c>
      <c r="C19" s="47"/>
      <c r="D19" s="22"/>
      <c r="E19" s="1"/>
    </row>
    <row r="20" spans="1:5" ht="15" customHeight="1" x14ac:dyDescent="0.25">
      <c r="A20" s="1"/>
      <c r="B20" s="32" t="s">
        <v>138</v>
      </c>
      <c r="C20" s="9">
        <f>'Fane 10.2. Engangstillæg'!C22</f>
        <v>0</v>
      </c>
      <c r="D20" s="8" t="s">
        <v>3</v>
      </c>
      <c r="E20" s="1"/>
    </row>
    <row r="21" spans="1:5" ht="15" customHeight="1" x14ac:dyDescent="0.25">
      <c r="A21" s="1"/>
      <c r="B21" s="32" t="s">
        <v>139</v>
      </c>
      <c r="C21" s="9">
        <f>'Fane 10.2. Engangstillæg'!E22</f>
        <v>0</v>
      </c>
      <c r="D21" s="8" t="s">
        <v>3</v>
      </c>
      <c r="E21" s="1"/>
    </row>
    <row r="22" spans="1:5" ht="15" customHeight="1" x14ac:dyDescent="0.25">
      <c r="A22" s="1"/>
      <c r="B22" s="50" t="s">
        <v>143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46" t="s">
        <v>160</v>
      </c>
      <c r="C23" s="47"/>
      <c r="D23" s="22"/>
      <c r="E23" s="1"/>
    </row>
    <row r="24" spans="1:5" ht="15" customHeight="1" x14ac:dyDescent="0.25">
      <c r="A24" s="1"/>
      <c r="B24" s="40" t="s">
        <v>195</v>
      </c>
      <c r="C24" s="10">
        <f>'Fane 7. Kontrol af ØR2018'!E39</f>
        <v>-131943.01727130637</v>
      </c>
      <c r="D24" s="11" t="s">
        <v>3</v>
      </c>
      <c r="E24" s="1"/>
    </row>
    <row r="25" spans="1:5" x14ac:dyDescent="0.25">
      <c r="A25" s="1"/>
      <c r="B25" s="46" t="s">
        <v>44</v>
      </c>
      <c r="C25" s="12">
        <f>SUM(C16,C18,C22,C24)</f>
        <v>46898046.700977549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wV5y+lacvbN6mq06W0iOGVC0n3Wu1x1lhbhf/WIg4t8yW6McQzzDSB7RxDzWkkUuLYoXJ6jmFAa9Sona9tKQRw==" saltValue="/0DgMo850IE+5ZKW0x5Q/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193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6" t="s">
        <v>20</v>
      </c>
      <c r="C7" s="47"/>
      <c r="D7" s="22"/>
      <c r="E7" s="1"/>
    </row>
    <row r="8" spans="1:5" ht="15" customHeight="1" x14ac:dyDescent="0.25">
      <c r="A8" s="1"/>
      <c r="B8" s="45" t="s">
        <v>36</v>
      </c>
      <c r="C8" s="7">
        <f>'Fane 2.2. Økonomisk ramme 2021'!C16</f>
        <v>25740495.173881914</v>
      </c>
      <c r="D8" s="8" t="s">
        <v>3</v>
      </c>
      <c r="E8" s="1"/>
    </row>
    <row r="9" spans="1:5" ht="15" customHeight="1" x14ac:dyDescent="0.25">
      <c r="A9" s="1"/>
      <c r="B9" s="45" t="s">
        <v>41</v>
      </c>
      <c r="C9" s="7">
        <f>-'Fane 12. Bortfald'!C26</f>
        <v>0</v>
      </c>
      <c r="D9" s="8" t="s">
        <v>3</v>
      </c>
      <c r="E9" s="1"/>
    </row>
    <row r="10" spans="1:5" ht="15" customHeight="1" x14ac:dyDescent="0.25">
      <c r="A10" s="1"/>
      <c r="B10" s="45" t="s">
        <v>40</v>
      </c>
      <c r="C10" s="7">
        <f>-'Fane 12. Bortfald'!E26</f>
        <v>0</v>
      </c>
      <c r="D10" s="8" t="s">
        <v>3</v>
      </c>
      <c r="E10" s="1"/>
    </row>
    <row r="11" spans="1:5" ht="15" customHeight="1" x14ac:dyDescent="0.25">
      <c r="A11" s="1"/>
      <c r="B11" s="38" t="s">
        <v>26</v>
      </c>
      <c r="C11" s="9">
        <f>SUM(C8:C10)*'Fane 14. Nøgletal'!C12</f>
        <v>507087.75492547371</v>
      </c>
      <c r="D11" s="8" t="s">
        <v>3</v>
      </c>
      <c r="E11" s="1"/>
    </row>
    <row r="12" spans="1:5" ht="15" customHeight="1" x14ac:dyDescent="0.25">
      <c r="A12" s="1"/>
      <c r="B12" s="38" t="s">
        <v>10</v>
      </c>
      <c r="C12" s="9">
        <f>-SUM(C8:C11)*'Fane 5. Individuelt eff. krav'!G10</f>
        <v>-87478.396366517118</v>
      </c>
      <c r="D12" s="8" t="s">
        <v>3</v>
      </c>
      <c r="E12" s="1"/>
    </row>
    <row r="13" spans="1:5" ht="15" customHeight="1" x14ac:dyDescent="0.25">
      <c r="A13" s="1"/>
      <c r="B13" s="38" t="s">
        <v>38</v>
      </c>
      <c r="C13" s="9">
        <f>-'Fane 4.1. Gen. krav - drift'!G38</f>
        <v>-208733.63098672577</v>
      </c>
      <c r="D13" s="8" t="s">
        <v>3</v>
      </c>
      <c r="E13" s="1"/>
    </row>
    <row r="14" spans="1:5" ht="15" customHeight="1" x14ac:dyDescent="0.25">
      <c r="A14" s="1"/>
      <c r="B14" s="38" t="s">
        <v>39</v>
      </c>
      <c r="C14" s="9">
        <f>-'Fane 4.2. Gen. krav - anlæg'!G37</f>
        <v>-480798.00227121951</v>
      </c>
      <c r="D14" s="8" t="s">
        <v>3</v>
      </c>
      <c r="E14" s="1"/>
    </row>
    <row r="15" spans="1:5" x14ac:dyDescent="0.25">
      <c r="A15" s="1"/>
      <c r="B15" s="39" t="s">
        <v>28</v>
      </c>
      <c r="C15" s="10">
        <f>SUM(C8:C14)</f>
        <v>25470572.899182927</v>
      </c>
      <c r="D15" s="11" t="s">
        <v>3</v>
      </c>
      <c r="E15" s="1"/>
    </row>
    <row r="16" spans="1:5" x14ac:dyDescent="0.25">
      <c r="A16" s="1"/>
      <c r="B16" s="46" t="s">
        <v>17</v>
      </c>
      <c r="C16" s="47"/>
      <c r="D16" s="22"/>
      <c r="E16" s="1"/>
    </row>
    <row r="17" spans="1:5" ht="15" customHeight="1" x14ac:dyDescent="0.25">
      <c r="A17" s="1"/>
      <c r="B17" s="40" t="s">
        <v>17</v>
      </c>
      <c r="C17" s="10">
        <f>'Fane 6. Ikke-påvirkelige omk.'!C13*(1+'Fane 14. Nøgletal'!C12)^2</f>
        <v>21708897.586890973</v>
      </c>
      <c r="D17" s="11" t="s">
        <v>3</v>
      </c>
      <c r="E17" s="1"/>
    </row>
    <row r="18" spans="1:5" ht="15" customHeight="1" x14ac:dyDescent="0.25">
      <c r="A18" s="1"/>
      <c r="B18" s="46" t="s">
        <v>142</v>
      </c>
      <c r="C18" s="47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Engangstillæg'!C30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Engangstillæg'!E30</f>
        <v>0</v>
      </c>
      <c r="D20" s="8" t="s">
        <v>3</v>
      </c>
      <c r="E20" s="1"/>
    </row>
    <row r="21" spans="1:5" ht="15" customHeight="1" x14ac:dyDescent="0.2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46" t="s">
        <v>160</v>
      </c>
      <c r="C22" s="47"/>
      <c r="D22" s="22"/>
      <c r="E22" s="1"/>
    </row>
    <row r="23" spans="1:5" ht="15" customHeight="1" x14ac:dyDescent="0.25">
      <c r="A23" s="1"/>
      <c r="B23" s="40" t="s">
        <v>195</v>
      </c>
      <c r="C23" s="10">
        <f>'Fane 2.2. Økonomisk ramme 2021'!C24</f>
        <v>-131943.01727130637</v>
      </c>
      <c r="D23" s="11" t="s">
        <v>3</v>
      </c>
      <c r="E23" s="1"/>
    </row>
    <row r="24" spans="1:5" x14ac:dyDescent="0.25">
      <c r="A24" s="1"/>
      <c r="B24" s="46" t="s">
        <v>45</v>
      </c>
      <c r="C24" s="12">
        <f>SUM(C15,C17,C21,C23)</f>
        <v>47047527.468802586</v>
      </c>
      <c r="D24" s="13" t="s">
        <v>3</v>
      </c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0APD9TfpLd+Wno8kt14xcub/AqpWnXXFWHFJh94wwu/Y/EWo3B+RDN3gs56n4AFOefW9cyoSaZpFYqRT3BuLMw==" saltValue="DqiHymV1R03A4xPRIRODC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194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6" t="s">
        <v>20</v>
      </c>
      <c r="C7" s="47"/>
      <c r="D7" s="22"/>
      <c r="E7" s="1"/>
    </row>
    <row r="8" spans="1:5" ht="15" customHeight="1" x14ac:dyDescent="0.25">
      <c r="A8" s="1"/>
      <c r="B8" s="45" t="s">
        <v>37</v>
      </c>
      <c r="C8" s="7">
        <f>'Fane 2.3. Økonomisk ramme 2022'!C15</f>
        <v>25470572.899182927</v>
      </c>
      <c r="D8" s="8" t="s">
        <v>3</v>
      </c>
      <c r="E8" s="1"/>
    </row>
    <row r="9" spans="1:5" ht="15" customHeight="1" x14ac:dyDescent="0.25">
      <c r="A9" s="1"/>
      <c r="B9" s="45" t="s">
        <v>41</v>
      </c>
      <c r="C9" s="7">
        <f>-'Fane 12. Bortfald'!C33</f>
        <v>0</v>
      </c>
      <c r="D9" s="8" t="s">
        <v>3</v>
      </c>
      <c r="E9" s="1"/>
    </row>
    <row r="10" spans="1:5" ht="15" customHeight="1" x14ac:dyDescent="0.25">
      <c r="A10" s="1"/>
      <c r="B10" s="45" t="s">
        <v>40</v>
      </c>
      <c r="C10" s="7">
        <f>-'Fane 12. Bortfald'!E33</f>
        <v>0</v>
      </c>
      <c r="D10" s="8" t="s">
        <v>3</v>
      </c>
      <c r="E10" s="1"/>
    </row>
    <row r="11" spans="1:5" ht="15" customHeight="1" x14ac:dyDescent="0.25">
      <c r="A11" s="1"/>
      <c r="B11" s="38" t="s">
        <v>26</v>
      </c>
      <c r="C11" s="9">
        <f>C8*'Fane 14. Nøgletal'!C12</f>
        <v>501770.28611390362</v>
      </c>
      <c r="D11" s="8" t="s">
        <v>3</v>
      </c>
      <c r="E11" s="1"/>
    </row>
    <row r="12" spans="1:5" ht="15" customHeight="1" x14ac:dyDescent="0.25">
      <c r="A12" s="1"/>
      <c r="B12" s="38" t="s">
        <v>10</v>
      </c>
      <c r="C12" s="9">
        <f>-SUM(C8:C11)*'Fane 5. Individuelt eff. krav'!G10</f>
        <v>-86561.072609737617</v>
      </c>
      <c r="D12" s="8" t="s">
        <v>3</v>
      </c>
      <c r="E12" s="1"/>
    </row>
    <row r="13" spans="1:5" ht="15" customHeight="1" x14ac:dyDescent="0.25">
      <c r="A13" s="1"/>
      <c r="B13" s="38" t="s">
        <v>38</v>
      </c>
      <c r="C13" s="9">
        <f>-'Fane 4.1. Gen. krav - drift'!G44</f>
        <v>-208588.76984682097</v>
      </c>
      <c r="D13" s="8" t="s">
        <v>3</v>
      </c>
      <c r="E13" s="1"/>
    </row>
    <row r="14" spans="1:5" ht="15" customHeight="1" x14ac:dyDescent="0.25">
      <c r="A14" s="1"/>
      <c r="B14" s="38" t="s">
        <v>39</v>
      </c>
      <c r="C14" s="9">
        <f>-'Fane 4.2. Gen. krav - anlæg'!G43</f>
        <v>-476346.0627851492</v>
      </c>
      <c r="D14" s="8" t="s">
        <v>3</v>
      </c>
      <c r="E14" s="1"/>
    </row>
    <row r="15" spans="1:5" x14ac:dyDescent="0.25">
      <c r="A15" s="1"/>
      <c r="B15" s="39" t="s">
        <v>28</v>
      </c>
      <c r="C15" s="10">
        <f>SUM(C8:C14)</f>
        <v>25200847.280055124</v>
      </c>
      <c r="D15" s="11" t="s">
        <v>3</v>
      </c>
      <c r="E15" s="1"/>
    </row>
    <row r="16" spans="1:5" x14ac:dyDescent="0.25">
      <c r="A16" s="1"/>
      <c r="B16" s="46" t="s">
        <v>17</v>
      </c>
      <c r="C16" s="47"/>
      <c r="D16" s="22"/>
      <c r="E16" s="1"/>
    </row>
    <row r="17" spans="1:5" ht="15" customHeight="1" x14ac:dyDescent="0.25">
      <c r="A17" s="1"/>
      <c r="B17" s="40" t="s">
        <v>17</v>
      </c>
      <c r="C17" s="10">
        <f>'Fane 6. Ikke-påvirkelige omk.'!C13*(1+'Fane 14. Nøgletal'!C12)^3</f>
        <v>22136562.869352724</v>
      </c>
      <c r="D17" s="11" t="s">
        <v>3</v>
      </c>
      <c r="E17" s="1"/>
    </row>
    <row r="18" spans="1:5" ht="15" customHeight="1" x14ac:dyDescent="0.25">
      <c r="A18" s="1"/>
      <c r="B18" s="46" t="s">
        <v>142</v>
      </c>
      <c r="C18" s="47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Engangstillæg'!C38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Engangstillæg'!E38</f>
        <v>0</v>
      </c>
      <c r="D20" s="8" t="s">
        <v>3</v>
      </c>
      <c r="E20" s="1"/>
    </row>
    <row r="21" spans="1:5" ht="15" customHeight="1" x14ac:dyDescent="0.2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46" t="s">
        <v>154</v>
      </c>
      <c r="C22" s="12">
        <f>SUM(C15,C17,C21)</f>
        <v>47337410.149407849</v>
      </c>
      <c r="D22" s="13" t="s">
        <v>3</v>
      </c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lbL2uVJJt/T5zpYocfOxYF3ApwPZ+73078PPeIT54BAfldYGJ6lb7QWvReoCVL9bviiivay2C+L+fZSzUNoSqg==" saltValue="VUf4Zk3/mJevZupRfQURi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221</v>
      </c>
      <c r="C3" s="82"/>
      <c r="D3" s="82"/>
      <c r="E3" s="82"/>
      <c r="F3" s="82"/>
      <c r="G3" s="1"/>
    </row>
    <row r="4" spans="1:7" ht="29.2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84</v>
      </c>
      <c r="C8" s="47"/>
      <c r="D8" s="47"/>
      <c r="E8" s="47"/>
      <c r="F8" s="22"/>
      <c r="G8" s="1"/>
    </row>
    <row r="9" spans="1:7" x14ac:dyDescent="0.25">
      <c r="A9" s="1"/>
      <c r="B9" s="83" t="s">
        <v>81</v>
      </c>
      <c r="C9" s="84"/>
      <c r="D9" s="85"/>
      <c r="E9" s="7">
        <v>25896635.127041575</v>
      </c>
      <c r="F9" s="8" t="s">
        <v>3</v>
      </c>
      <c r="G9" s="1"/>
    </row>
    <row r="10" spans="1:7" x14ac:dyDescent="0.25">
      <c r="A10" s="1"/>
      <c r="B10" s="83" t="s">
        <v>82</v>
      </c>
      <c r="C10" s="84"/>
      <c r="D10" s="85"/>
      <c r="E10" s="7">
        <v>0</v>
      </c>
      <c r="F10" s="8" t="s">
        <v>3</v>
      </c>
      <c r="G10" s="1"/>
    </row>
    <row r="11" spans="1:7" x14ac:dyDescent="0.25">
      <c r="A11" s="1"/>
      <c r="B11" s="83" t="s">
        <v>83</v>
      </c>
      <c r="C11" s="84"/>
      <c r="D11" s="85"/>
      <c r="E11" s="7">
        <v>122719.482141646</v>
      </c>
      <c r="F11" s="8" t="s">
        <v>3</v>
      </c>
      <c r="G11" s="1"/>
    </row>
    <row r="12" spans="1:7" x14ac:dyDescent="0.25">
      <c r="A12" s="1"/>
      <c r="B12" s="74" t="s">
        <v>67</v>
      </c>
      <c r="C12" s="75"/>
      <c r="D12" s="76"/>
      <c r="E12" s="7">
        <v>0</v>
      </c>
      <c r="F12" s="8" t="s">
        <v>3</v>
      </c>
      <c r="G12" s="1"/>
    </row>
    <row r="13" spans="1:7" x14ac:dyDescent="0.25">
      <c r="A13" s="1"/>
      <c r="B13" s="74" t="s">
        <v>68</v>
      </c>
      <c r="C13" s="75"/>
      <c r="D13" s="76"/>
      <c r="E13" s="9">
        <v>0</v>
      </c>
      <c r="F13" s="8" t="s">
        <v>3</v>
      </c>
      <c r="G13" s="1"/>
    </row>
    <row r="14" spans="1:7" x14ac:dyDescent="0.25">
      <c r="A14" s="1"/>
      <c r="B14" s="74" t="s">
        <v>41</v>
      </c>
      <c r="C14" s="75"/>
      <c r="D14" s="76"/>
      <c r="E14" s="9">
        <v>0</v>
      </c>
      <c r="F14" s="8" t="s">
        <v>3</v>
      </c>
      <c r="G14" s="1"/>
    </row>
    <row r="15" spans="1:7" x14ac:dyDescent="0.25">
      <c r="A15" s="1"/>
      <c r="B15" s="74" t="s">
        <v>40</v>
      </c>
      <c r="C15" s="75"/>
      <c r="D15" s="76"/>
      <c r="E15" s="9">
        <v>0</v>
      </c>
      <c r="F15" s="8" t="s">
        <v>3</v>
      </c>
      <c r="G15" s="1"/>
    </row>
    <row r="16" spans="1:7" x14ac:dyDescent="0.25">
      <c r="A16" s="1"/>
      <c r="B16" s="74" t="s">
        <v>43</v>
      </c>
      <c r="C16" s="75"/>
      <c r="D16" s="76"/>
      <c r="E16" s="9">
        <v>0</v>
      </c>
      <c r="F16" s="8" t="s">
        <v>3</v>
      </c>
      <c r="G16" s="1"/>
    </row>
    <row r="17" spans="1:7" x14ac:dyDescent="0.25">
      <c r="A17" s="1"/>
      <c r="B17" s="74" t="s">
        <v>42</v>
      </c>
      <c r="C17" s="75"/>
      <c r="D17" s="76"/>
      <c r="E17" s="9">
        <v>0</v>
      </c>
      <c r="F17" s="8" t="s">
        <v>3</v>
      </c>
      <c r="G17" s="1"/>
    </row>
    <row r="18" spans="1:7" x14ac:dyDescent="0.25">
      <c r="A18" s="1"/>
      <c r="B18" s="74" t="s">
        <v>26</v>
      </c>
      <c r="C18" s="75"/>
      <c r="D18" s="76"/>
      <c r="E18" s="9">
        <f>SUM(E9:E17)*'Fane 14. Nøgletal'!C11</f>
        <v>439727.0928951964</v>
      </c>
      <c r="F18" s="8" t="s">
        <v>3</v>
      </c>
      <c r="G18" s="1"/>
    </row>
    <row r="19" spans="1:7" x14ac:dyDescent="0.25">
      <c r="A19" s="1"/>
      <c r="B19" s="74" t="s">
        <v>10</v>
      </c>
      <c r="C19" s="75"/>
      <c r="D19" s="76"/>
      <c r="E19" s="9">
        <f>-SUM(E9:E18)*'Fane 5. Individuelt eff. krav'!G10</f>
        <v>-88183.283120067645</v>
      </c>
      <c r="F19" s="8" t="s">
        <v>3</v>
      </c>
      <c r="G19" s="1"/>
    </row>
    <row r="20" spans="1:7" x14ac:dyDescent="0.25">
      <c r="A20" s="1"/>
      <c r="B20" s="74" t="s">
        <v>38</v>
      </c>
      <c r="C20" s="75"/>
      <c r="D20" s="76"/>
      <c r="E20" s="9">
        <f>-'Fane 4.1. Gen. krav - drift'!G20</f>
        <v>-209744.75762346174</v>
      </c>
      <c r="F20" s="8" t="s">
        <v>3</v>
      </c>
      <c r="G20" s="1"/>
    </row>
    <row r="21" spans="1:7" x14ac:dyDescent="0.25">
      <c r="A21" s="1"/>
      <c r="B21" s="74" t="s">
        <v>39</v>
      </c>
      <c r="C21" s="75"/>
      <c r="D21" s="76"/>
      <c r="E21" s="9">
        <f>-'Fane 4.2. Gen. krav - anlæg'!G19</f>
        <v>-145895.790891924</v>
      </c>
      <c r="F21" s="8" t="s">
        <v>3</v>
      </c>
      <c r="G21" s="1"/>
    </row>
    <row r="22" spans="1:7" x14ac:dyDescent="0.25">
      <c r="A22" s="1"/>
      <c r="B22" s="74" t="s">
        <v>234</v>
      </c>
      <c r="C22" s="75"/>
      <c r="D22" s="76"/>
      <c r="E22" s="9">
        <v>-1536</v>
      </c>
      <c r="F22" s="8" t="s">
        <v>3</v>
      </c>
      <c r="G22" s="1"/>
    </row>
    <row r="23" spans="1:7" x14ac:dyDescent="0.25">
      <c r="A23" s="1"/>
      <c r="B23" s="89" t="s">
        <v>28</v>
      </c>
      <c r="C23" s="90"/>
      <c r="D23" s="91"/>
      <c r="E23" s="10">
        <f>SUM(E9:E22)</f>
        <v>26013721.870442968</v>
      </c>
      <c r="F23" s="11" t="s">
        <v>3</v>
      </c>
      <c r="G23" s="1"/>
    </row>
    <row r="24" spans="1:7" x14ac:dyDescent="0.25">
      <c r="A24" s="1"/>
      <c r="B24" s="77" t="s">
        <v>17</v>
      </c>
      <c r="C24" s="78"/>
      <c r="D24" s="78"/>
      <c r="E24" s="47"/>
      <c r="F24" s="22"/>
      <c r="G24" s="1"/>
    </row>
    <row r="25" spans="1:7" x14ac:dyDescent="0.25">
      <c r="A25" s="1"/>
      <c r="B25" s="79" t="s">
        <v>17</v>
      </c>
      <c r="C25" s="80"/>
      <c r="D25" s="81"/>
      <c r="E25" s="10">
        <v>21410195.523762304</v>
      </c>
      <c r="F25" s="11" t="s">
        <v>3</v>
      </c>
      <c r="G25" s="1"/>
    </row>
    <row r="26" spans="1:7" x14ac:dyDescent="0.25">
      <c r="A26" s="1"/>
      <c r="B26" s="46" t="s">
        <v>130</v>
      </c>
      <c r="C26" s="47"/>
      <c r="D26" s="47"/>
      <c r="E26" s="47"/>
      <c r="F26" s="22"/>
      <c r="G26" s="1"/>
    </row>
    <row r="27" spans="1:7" ht="27" customHeight="1" x14ac:dyDescent="0.25">
      <c r="A27" s="1"/>
      <c r="B27" s="92" t="s">
        <v>132</v>
      </c>
      <c r="C27" s="93"/>
      <c r="D27" s="94"/>
      <c r="E27" s="10">
        <v>101078.68921878519</v>
      </c>
      <c r="F27" s="11" t="s">
        <v>3</v>
      </c>
      <c r="G27" s="1"/>
    </row>
    <row r="28" spans="1:7" x14ac:dyDescent="0.25">
      <c r="A28" s="1"/>
      <c r="B28" s="46" t="s">
        <v>11</v>
      </c>
      <c r="C28" s="47"/>
      <c r="D28" s="47"/>
      <c r="E28" s="47"/>
      <c r="F28" s="22"/>
      <c r="G28" s="1"/>
    </row>
    <row r="29" spans="1:7" x14ac:dyDescent="0.25">
      <c r="A29" s="1"/>
      <c r="B29" s="79" t="s">
        <v>19</v>
      </c>
      <c r="C29" s="80"/>
      <c r="D29" s="81"/>
      <c r="E29" s="10">
        <v>-385070</v>
      </c>
      <c r="F29" s="11" t="s">
        <v>3</v>
      </c>
      <c r="G29" s="1"/>
    </row>
    <row r="30" spans="1:7" x14ac:dyDescent="0.25">
      <c r="A30" s="1"/>
      <c r="B30" s="46" t="s">
        <v>160</v>
      </c>
      <c r="C30" s="47"/>
      <c r="D30" s="47"/>
      <c r="E30" s="47"/>
      <c r="F30" s="22"/>
      <c r="G30" s="1"/>
    </row>
    <row r="31" spans="1:7" x14ac:dyDescent="0.25">
      <c r="A31" s="1"/>
      <c r="B31" s="79" t="s">
        <v>131</v>
      </c>
      <c r="C31" s="80"/>
      <c r="D31" s="81"/>
      <c r="E31" s="10">
        <v>4047192.6636991384</v>
      </c>
      <c r="F31" s="11" t="s">
        <v>3</v>
      </c>
      <c r="G31" s="1"/>
    </row>
    <row r="32" spans="1:7" x14ac:dyDescent="0.25">
      <c r="A32" s="1"/>
      <c r="B32" s="46" t="s">
        <v>23</v>
      </c>
      <c r="C32" s="47"/>
      <c r="D32" s="47"/>
      <c r="E32" s="12">
        <f>SUM(E29,E27,E25,E23,E31)</f>
        <v>51187118.747123197</v>
      </c>
      <c r="F32" s="13" t="s">
        <v>3</v>
      </c>
      <c r="G32" s="1"/>
    </row>
    <row r="33" spans="1:7" ht="28.15" customHeight="1" x14ac:dyDescent="0.25">
      <c r="A33" s="1"/>
      <c r="B33" s="86" t="s">
        <v>189</v>
      </c>
      <c r="C33" s="87"/>
      <c r="D33" s="87"/>
      <c r="E33" s="87"/>
      <c r="F33" s="88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0adWQZ/uORo+sUplwxd2V9BOpNpN8SMOPqTNeTW8gapgrh7Y3wklIYku7Ip41ofRZRBuJv8HjWvaD3Ud/67qmg==" saltValue="LGmBCyv+ywIUz6fFBH2Jyw==" spinCount="100000" sheet="1" objects="1" scenarios="1"/>
  <mergeCells count="22">
    <mergeCell ref="B33:F33"/>
    <mergeCell ref="B18:D18"/>
    <mergeCell ref="B19:D19"/>
    <mergeCell ref="B20:D20"/>
    <mergeCell ref="B21:D21"/>
    <mergeCell ref="B23:D23"/>
    <mergeCell ref="B31:D31"/>
    <mergeCell ref="B27:D27"/>
    <mergeCell ref="B29:D29"/>
    <mergeCell ref="B3:F4"/>
    <mergeCell ref="B9:D9"/>
    <mergeCell ref="B12:D12"/>
    <mergeCell ref="B13:D13"/>
    <mergeCell ref="B14:D14"/>
    <mergeCell ref="B10:D10"/>
    <mergeCell ref="B11:D11"/>
    <mergeCell ref="B15:D15"/>
    <mergeCell ref="B16:D16"/>
    <mergeCell ref="B17:D17"/>
    <mergeCell ref="B24:D24"/>
    <mergeCell ref="B25:D25"/>
    <mergeCell ref="B22:D2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2" t="s">
        <v>202</v>
      </c>
      <c r="C2" s="72"/>
      <c r="D2" s="72"/>
      <c r="E2" s="72"/>
      <c r="F2" s="72"/>
      <c r="G2" s="72"/>
      <c r="H2" s="72"/>
      <c r="I2" s="1"/>
    </row>
    <row r="3" spans="1:9" ht="15" customHeight="1" x14ac:dyDescent="0.25">
      <c r="A3" s="1"/>
      <c r="B3" s="72"/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95" t="s">
        <v>97</v>
      </c>
      <c r="C5" s="96"/>
      <c r="D5" s="96"/>
      <c r="E5" s="96"/>
      <c r="F5" s="96"/>
      <c r="G5" s="96"/>
      <c r="H5" s="97"/>
      <c r="I5" s="1"/>
    </row>
    <row r="6" spans="1:9" x14ac:dyDescent="0.25">
      <c r="A6" s="1"/>
      <c r="B6" s="98" t="s">
        <v>86</v>
      </c>
      <c r="C6" s="99"/>
      <c r="D6" s="99"/>
      <c r="E6" s="99"/>
      <c r="F6" s="100"/>
      <c r="G6" s="26">
        <v>10443057.58097716</v>
      </c>
      <c r="H6" s="14" t="s">
        <v>3</v>
      </c>
      <c r="I6" s="1"/>
    </row>
    <row r="7" spans="1:9" x14ac:dyDescent="0.25">
      <c r="A7" s="1"/>
      <c r="B7" s="98" t="s">
        <v>87</v>
      </c>
      <c r="C7" s="99"/>
      <c r="D7" s="99"/>
      <c r="E7" s="99"/>
      <c r="F7" s="100"/>
      <c r="G7" s="26">
        <f>G6*'Fane 14. Nøgletal'!C25</f>
        <v>208861.15161954321</v>
      </c>
      <c r="H7" s="14" t="s">
        <v>3</v>
      </c>
      <c r="I7" s="1"/>
    </row>
    <row r="8" spans="1:9" x14ac:dyDescent="0.25">
      <c r="A8" s="1"/>
      <c r="B8" s="46"/>
      <c r="C8" s="47"/>
      <c r="D8" s="47"/>
      <c r="E8" s="47"/>
      <c r="F8" s="47"/>
      <c r="G8" s="47"/>
      <c r="H8" s="22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5" t="s">
        <v>98</v>
      </c>
      <c r="C10" s="96"/>
      <c r="D10" s="96"/>
      <c r="E10" s="96"/>
      <c r="F10" s="96"/>
      <c r="G10" s="96"/>
      <c r="H10" s="97"/>
      <c r="I10" s="1"/>
    </row>
    <row r="11" spans="1:9" x14ac:dyDescent="0.25">
      <c r="A11" s="1"/>
      <c r="B11" s="98" t="s">
        <v>88</v>
      </c>
      <c r="C11" s="99"/>
      <c r="D11" s="99"/>
      <c r="E11" s="99"/>
      <c r="F11" s="100"/>
      <c r="G11" s="26">
        <f>(G6-G7)*(1+'Fane 14. Nøgletal'!C9)</f>
        <v>10364170.72401046</v>
      </c>
      <c r="H11" s="14" t="s">
        <v>3</v>
      </c>
      <c r="I11" s="1"/>
    </row>
    <row r="12" spans="1:9" x14ac:dyDescent="0.25">
      <c r="A12" s="1"/>
      <c r="B12" s="101" t="s">
        <v>89</v>
      </c>
      <c r="C12" s="102"/>
      <c r="D12" s="102"/>
      <c r="E12" s="102"/>
      <c r="F12" s="103"/>
      <c r="G12" s="26">
        <v>159246.66615</v>
      </c>
      <c r="H12" s="14" t="s">
        <v>3</v>
      </c>
      <c r="I12" s="1"/>
    </row>
    <row r="13" spans="1:9" x14ac:dyDescent="0.25">
      <c r="A13" s="1"/>
      <c r="B13" s="98" t="s">
        <v>90</v>
      </c>
      <c r="C13" s="99"/>
      <c r="D13" s="99"/>
      <c r="E13" s="99"/>
      <c r="F13" s="100"/>
      <c r="G13" s="26">
        <f>(G11+G12)*'Fane 14. Nøgletal'!C25</f>
        <v>210468.34780320921</v>
      </c>
      <c r="H13" s="14" t="s">
        <v>3</v>
      </c>
      <c r="I13" s="1"/>
    </row>
    <row r="14" spans="1:9" x14ac:dyDescent="0.25">
      <c r="A14" s="1"/>
      <c r="B14" s="46"/>
      <c r="C14" s="47"/>
      <c r="D14" s="47"/>
      <c r="E14" s="47"/>
      <c r="F14" s="47"/>
      <c r="G14" s="47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5" t="s">
        <v>99</v>
      </c>
      <c r="C16" s="96"/>
      <c r="D16" s="96"/>
      <c r="E16" s="96"/>
      <c r="F16" s="96"/>
      <c r="G16" s="96"/>
      <c r="H16" s="97"/>
      <c r="I16" s="1"/>
    </row>
    <row r="17" spans="1:9" x14ac:dyDescent="0.25">
      <c r="A17" s="1"/>
      <c r="B17" s="98" t="s">
        <v>91</v>
      </c>
      <c r="C17" s="99"/>
      <c r="D17" s="99"/>
      <c r="E17" s="99"/>
      <c r="F17" s="100"/>
      <c r="G17" s="26">
        <f>(G13/'Fane 14. Nøgletal'!C25-G13)*(1+'Fane 14. Nøgletal'!C11)</f>
        <v>10487237.881173087</v>
      </c>
      <c r="H17" s="14" t="s">
        <v>3</v>
      </c>
      <c r="I17" s="1"/>
    </row>
    <row r="18" spans="1:9" x14ac:dyDescent="0.25">
      <c r="A18" s="1"/>
      <c r="B18" s="98" t="s">
        <v>222</v>
      </c>
      <c r="C18" s="99"/>
      <c r="D18" s="99"/>
      <c r="E18" s="99"/>
      <c r="F18" s="100"/>
      <c r="G18" s="26">
        <v>0</v>
      </c>
      <c r="H18" s="14" t="s">
        <v>3</v>
      </c>
      <c r="I18" s="1"/>
    </row>
    <row r="19" spans="1:9" x14ac:dyDescent="0.25">
      <c r="A19" s="1"/>
      <c r="B19" s="101" t="s">
        <v>92</v>
      </c>
      <c r="C19" s="102"/>
      <c r="D19" s="102"/>
      <c r="E19" s="102"/>
      <c r="F19" s="103"/>
      <c r="G19" s="26">
        <v>0</v>
      </c>
      <c r="H19" s="14" t="s">
        <v>3</v>
      </c>
      <c r="I19" s="1"/>
    </row>
    <row r="20" spans="1:9" x14ac:dyDescent="0.25">
      <c r="A20" s="1"/>
      <c r="B20" s="98" t="s">
        <v>93</v>
      </c>
      <c r="C20" s="99"/>
      <c r="D20" s="99"/>
      <c r="E20" s="99"/>
      <c r="F20" s="100"/>
      <c r="G20" s="26">
        <f>SUM(G17:G19)*'Fane 14. Nøgletal'!C25</f>
        <v>209744.75762346174</v>
      </c>
      <c r="H20" s="14" t="s">
        <v>3</v>
      </c>
      <c r="I20" s="1"/>
    </row>
    <row r="21" spans="1:9" x14ac:dyDescent="0.25">
      <c r="A21" s="1"/>
      <c r="B21" s="46"/>
      <c r="C21" s="47"/>
      <c r="D21" s="47"/>
      <c r="E21" s="47"/>
      <c r="F21" s="47"/>
      <c r="G21" s="47"/>
      <c r="H21" s="22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95" t="s">
        <v>100</v>
      </c>
      <c r="C23" s="96"/>
      <c r="D23" s="96"/>
      <c r="E23" s="96"/>
      <c r="F23" s="96"/>
      <c r="G23" s="96"/>
      <c r="H23" s="97"/>
      <c r="I23" s="1"/>
    </row>
    <row r="24" spans="1:9" x14ac:dyDescent="0.25">
      <c r="A24" s="1"/>
      <c r="B24" s="98" t="s">
        <v>94</v>
      </c>
      <c r="C24" s="99"/>
      <c r="D24" s="99"/>
      <c r="E24" s="99"/>
      <c r="F24" s="100"/>
      <c r="G24" s="26">
        <f>(SUM(G17:G19)-G20)*(1+'Fane 14. Nøgletal'!C11)</f>
        <v>10451182.757337613</v>
      </c>
      <c r="H24" s="14" t="s">
        <v>3</v>
      </c>
      <c r="I24" s="1"/>
    </row>
    <row r="25" spans="1:9" x14ac:dyDescent="0.25">
      <c r="A25" s="1"/>
      <c r="B25" s="101" t="s">
        <v>95</v>
      </c>
      <c r="C25" s="102"/>
      <c r="D25" s="102"/>
      <c r="E25" s="102"/>
      <c r="F25" s="103"/>
      <c r="G25" s="26">
        <f>('Fane 2.1. Økonomisk ramme 2020'!C11+'Fane 2.1. Økonomisk ramme 2020'!C13+'Fane 2.1. Økonomisk ramme 2020'!C15)*(1+'Fane 14. Nøgletal'!C12)</f>
        <v>0</v>
      </c>
      <c r="H25" s="14" t="s">
        <v>3</v>
      </c>
      <c r="I25" s="1"/>
    </row>
    <row r="26" spans="1:9" x14ac:dyDescent="0.25">
      <c r="A26" s="1"/>
      <c r="B26" s="98" t="s">
        <v>96</v>
      </c>
      <c r="C26" s="99"/>
      <c r="D26" s="99"/>
      <c r="E26" s="99"/>
      <c r="F26" s="100"/>
      <c r="G26" s="26">
        <f>(G24+G25)*'Fane 14. Nøgletal'!C25</f>
        <v>209023.65514675225</v>
      </c>
      <c r="H26" s="14" t="s">
        <v>3</v>
      </c>
      <c r="I26" s="1"/>
    </row>
    <row r="27" spans="1:9" x14ac:dyDescent="0.25">
      <c r="A27" s="1"/>
      <c r="B27" s="46"/>
      <c r="C27" s="47"/>
      <c r="D27" s="47"/>
      <c r="E27" s="47"/>
      <c r="F27" s="47"/>
      <c r="G27" s="47"/>
      <c r="H27" s="22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95" t="s">
        <v>191</v>
      </c>
      <c r="C29" s="96"/>
      <c r="D29" s="96"/>
      <c r="E29" s="96"/>
      <c r="F29" s="96"/>
      <c r="G29" s="96"/>
      <c r="H29" s="97"/>
      <c r="I29" s="1"/>
    </row>
    <row r="30" spans="1:9" x14ac:dyDescent="0.25">
      <c r="A30" s="1"/>
      <c r="B30" s="98" t="s">
        <v>103</v>
      </c>
      <c r="C30" s="99"/>
      <c r="D30" s="99"/>
      <c r="E30" s="99"/>
      <c r="F30" s="100"/>
      <c r="G30" s="26">
        <f>(G24+G25-G26)*(1+'Fane 14. Nøgletal'!C12)</f>
        <v>10443929.636504022</v>
      </c>
      <c r="H30" s="14" t="s">
        <v>3</v>
      </c>
      <c r="I30" s="1"/>
    </row>
    <row r="31" spans="1:9" x14ac:dyDescent="0.25">
      <c r="A31" s="1"/>
      <c r="B31" s="98" t="s">
        <v>145</v>
      </c>
      <c r="C31" s="99"/>
      <c r="D31" s="99"/>
      <c r="E31" s="99"/>
      <c r="F31" s="100"/>
      <c r="G31" s="26">
        <f>-'Fane 12. Bortfald'!C19*(1+'Fane 14. Nøgletal'!C12)</f>
        <v>0</v>
      </c>
      <c r="H31" s="14" t="s">
        <v>3</v>
      </c>
      <c r="I31" s="1"/>
    </row>
    <row r="32" spans="1:9" x14ac:dyDescent="0.25">
      <c r="A32" s="1"/>
      <c r="B32" s="98" t="s">
        <v>220</v>
      </c>
      <c r="C32" s="99"/>
      <c r="D32" s="99"/>
      <c r="E32" s="99"/>
      <c r="F32" s="100"/>
      <c r="G32" s="26">
        <f>(G30+G31)*'Fane 14. Nøgletal'!C25</f>
        <v>208878.59273008045</v>
      </c>
      <c r="H32" s="14" t="s">
        <v>3</v>
      </c>
      <c r="I32" s="1"/>
    </row>
    <row r="33" spans="1:9" x14ac:dyDescent="0.25">
      <c r="A33" s="1"/>
      <c r="B33" s="46"/>
      <c r="C33" s="47"/>
      <c r="D33" s="47"/>
      <c r="E33" s="47"/>
      <c r="F33" s="47"/>
      <c r="G33" s="47"/>
      <c r="H33" s="22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95" t="s">
        <v>126</v>
      </c>
      <c r="C35" s="96"/>
      <c r="D35" s="96"/>
      <c r="E35" s="96"/>
      <c r="F35" s="96"/>
      <c r="G35" s="96"/>
      <c r="H35" s="97"/>
      <c r="I35" s="1"/>
    </row>
    <row r="36" spans="1:9" x14ac:dyDescent="0.25">
      <c r="A36" s="1"/>
      <c r="B36" s="98" t="s">
        <v>125</v>
      </c>
      <c r="C36" s="99"/>
      <c r="D36" s="99"/>
      <c r="E36" s="99"/>
      <c r="F36" s="100"/>
      <c r="G36" s="26">
        <f>(G30-G32)*(1+'Fane 14. Nøgletal'!C12)</f>
        <v>10436681.549336288</v>
      </c>
      <c r="H36" s="14" t="s">
        <v>3</v>
      </c>
      <c r="I36" s="1"/>
    </row>
    <row r="37" spans="1:9" x14ac:dyDescent="0.25">
      <c r="A37" s="1"/>
      <c r="B37" s="98" t="s">
        <v>146</v>
      </c>
      <c r="C37" s="99"/>
      <c r="D37" s="99"/>
      <c r="E37" s="99"/>
      <c r="F37" s="100"/>
      <c r="G37" s="26">
        <f>-'Fane 12. Bortfald'!C26*(1+'Fane 14. Nøgletal'!C12)</f>
        <v>0</v>
      </c>
      <c r="H37" s="14" t="s">
        <v>3</v>
      </c>
      <c r="I37" s="1"/>
    </row>
    <row r="38" spans="1:9" x14ac:dyDescent="0.25">
      <c r="A38" s="1"/>
      <c r="B38" s="98" t="s">
        <v>104</v>
      </c>
      <c r="C38" s="99"/>
      <c r="D38" s="99"/>
      <c r="E38" s="99"/>
      <c r="F38" s="100"/>
      <c r="G38" s="26">
        <f>(G36+G37)*'Fane 14. Nøgletal'!C25</f>
        <v>208733.63098672577</v>
      </c>
      <c r="H38" s="14" t="s">
        <v>3</v>
      </c>
      <c r="I38" s="1"/>
    </row>
    <row r="39" spans="1:9" x14ac:dyDescent="0.25">
      <c r="A39" s="1"/>
      <c r="B39" s="46"/>
      <c r="C39" s="47"/>
      <c r="D39" s="47"/>
      <c r="E39" s="47"/>
      <c r="F39" s="47"/>
      <c r="G39" s="47"/>
      <c r="H39" s="22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95" t="s">
        <v>127</v>
      </c>
      <c r="C41" s="96"/>
      <c r="D41" s="96"/>
      <c r="E41" s="96"/>
      <c r="F41" s="96"/>
      <c r="G41" s="96"/>
      <c r="H41" s="97"/>
      <c r="I41" s="1"/>
    </row>
    <row r="42" spans="1:9" x14ac:dyDescent="0.25">
      <c r="A42" s="1"/>
      <c r="B42" s="98" t="s">
        <v>124</v>
      </c>
      <c r="C42" s="99"/>
      <c r="D42" s="99"/>
      <c r="E42" s="99"/>
      <c r="F42" s="100"/>
      <c r="G42" s="26">
        <f>(G36-G38)*(1+'Fane 14. Nøgletal'!C12)</f>
        <v>10429438.492341049</v>
      </c>
      <c r="H42" s="14" t="s">
        <v>3</v>
      </c>
      <c r="I42" s="1"/>
    </row>
    <row r="43" spans="1:9" x14ac:dyDescent="0.25">
      <c r="A43" s="1"/>
      <c r="B43" s="98" t="s">
        <v>147</v>
      </c>
      <c r="C43" s="99"/>
      <c r="D43" s="99"/>
      <c r="E43" s="99"/>
      <c r="F43" s="100"/>
      <c r="G43" s="26">
        <f>-'Fane 12. Bortfald'!C33*(1+'Fane 14. Nøgletal'!C12)</f>
        <v>0</v>
      </c>
      <c r="H43" s="14" t="s">
        <v>3</v>
      </c>
      <c r="I43" s="1"/>
    </row>
    <row r="44" spans="1:9" x14ac:dyDescent="0.25">
      <c r="A44" s="1"/>
      <c r="B44" s="98" t="s">
        <v>105</v>
      </c>
      <c r="C44" s="99"/>
      <c r="D44" s="99"/>
      <c r="E44" s="99"/>
      <c r="F44" s="100"/>
      <c r="G44" s="26">
        <f>(G42+G43)*'Fane 14. Nøgletal'!C25</f>
        <v>208588.76984682097</v>
      </c>
      <c r="H44" s="14" t="s">
        <v>3</v>
      </c>
      <c r="I44" s="1"/>
    </row>
    <row r="45" spans="1:9" x14ac:dyDescent="0.25">
      <c r="A45" s="1"/>
      <c r="B45" s="46"/>
      <c r="C45" s="47"/>
      <c r="D45" s="47"/>
      <c r="E45" s="47"/>
      <c r="F45" s="47"/>
      <c r="G45" s="47"/>
      <c r="H45" s="22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o/KzXAZymlWbe0fjjGjIW1W15OARIj+Hb2IyQp7m65FPy8cqikBSIW2rmWOwkpfhRSMhrTzEE9j0K4bljBt1rA==" saltValue="3HYY0ke8nv4T1NXL/VwQtw==" spinCount="100000" sheet="1" objects="1" scenarios="1"/>
  <mergeCells count="29">
    <mergeCell ref="B2:H4"/>
    <mergeCell ref="B5:H5"/>
    <mergeCell ref="B6:F6"/>
    <mergeCell ref="B7:F7"/>
    <mergeCell ref="B11:F11"/>
    <mergeCell ref="B10:H10"/>
    <mergeCell ref="B41:H41"/>
    <mergeCell ref="B42:F42"/>
    <mergeCell ref="B44:F44"/>
    <mergeCell ref="B37:F37"/>
    <mergeCell ref="B43:F43"/>
    <mergeCell ref="B16:H16"/>
    <mergeCell ref="B23:H23"/>
    <mergeCell ref="B12:F12"/>
    <mergeCell ref="B13:F13"/>
    <mergeCell ref="B17:F17"/>
    <mergeCell ref="B19:F19"/>
    <mergeCell ref="B18:F18"/>
    <mergeCell ref="B29:H29"/>
    <mergeCell ref="B30:F30"/>
    <mergeCell ref="B35:H35"/>
    <mergeCell ref="B38:F38"/>
    <mergeCell ref="B20:F20"/>
    <mergeCell ref="B24:F24"/>
    <mergeCell ref="B25:F25"/>
    <mergeCell ref="B26:F26"/>
    <mergeCell ref="B36:F36"/>
    <mergeCell ref="B31:F31"/>
    <mergeCell ref="B32:F3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4" t="s">
        <v>203</v>
      </c>
      <c r="C2" s="104"/>
      <c r="D2" s="104"/>
      <c r="E2" s="104"/>
      <c r="F2" s="104"/>
      <c r="G2" s="104"/>
      <c r="H2" s="104"/>
      <c r="I2" s="1"/>
    </row>
    <row r="3" spans="1:9" ht="18.75" x14ac:dyDescent="0.3">
      <c r="A3" s="1"/>
      <c r="B3" s="49"/>
      <c r="C3" s="49"/>
      <c r="D3" s="49"/>
      <c r="E3" s="49"/>
      <c r="F3" s="49"/>
      <c r="G3" s="49"/>
      <c r="H3" s="49"/>
      <c r="I3" s="1"/>
    </row>
    <row r="4" spans="1:9" x14ac:dyDescent="0.25">
      <c r="A4" s="1"/>
      <c r="B4" s="95" t="s">
        <v>101</v>
      </c>
      <c r="C4" s="96"/>
      <c r="D4" s="96"/>
      <c r="E4" s="96"/>
      <c r="F4" s="96"/>
      <c r="G4" s="96"/>
      <c r="H4" s="97"/>
      <c r="I4" s="1"/>
    </row>
    <row r="5" spans="1:9" x14ac:dyDescent="0.25">
      <c r="A5" s="1"/>
      <c r="B5" s="98" t="s">
        <v>106</v>
      </c>
      <c r="C5" s="99"/>
      <c r="D5" s="99"/>
      <c r="E5" s="99"/>
      <c r="F5" s="100"/>
      <c r="G5" s="26">
        <v>16279713.022333013</v>
      </c>
      <c r="H5" s="14" t="s">
        <v>3</v>
      </c>
      <c r="I5" s="1"/>
    </row>
    <row r="6" spans="1:9" x14ac:dyDescent="0.25">
      <c r="A6" s="1"/>
      <c r="B6" s="98" t="s">
        <v>102</v>
      </c>
      <c r="C6" s="99"/>
      <c r="D6" s="99"/>
      <c r="E6" s="99"/>
      <c r="F6" s="100"/>
      <c r="G6" s="26">
        <f>G5*'Fane 14. Nøgletal'!C17</f>
        <v>148145.38850323044</v>
      </c>
      <c r="H6" s="14" t="s">
        <v>3</v>
      </c>
      <c r="I6" s="1"/>
    </row>
    <row r="7" spans="1:9" x14ac:dyDescent="0.25">
      <c r="A7" s="1"/>
      <c r="B7" s="46"/>
      <c r="C7" s="47"/>
      <c r="D7" s="47"/>
      <c r="E7" s="47"/>
      <c r="F7" s="47"/>
      <c r="G7" s="47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5" t="s">
        <v>107</v>
      </c>
      <c r="C9" s="96"/>
      <c r="D9" s="96"/>
      <c r="E9" s="96"/>
      <c r="F9" s="96"/>
      <c r="G9" s="96"/>
      <c r="H9" s="97"/>
      <c r="I9" s="1"/>
    </row>
    <row r="10" spans="1:9" x14ac:dyDescent="0.25">
      <c r="A10" s="1"/>
      <c r="B10" s="98" t="s">
        <v>108</v>
      </c>
      <c r="C10" s="99"/>
      <c r="D10" s="99"/>
      <c r="E10" s="99"/>
      <c r="F10" s="100"/>
      <c r="G10" s="26">
        <f>(G5-G6)*(1+'Fane 14. Nøgletal'!C9)</f>
        <v>16336438.54277942</v>
      </c>
      <c r="H10" s="14" t="s">
        <v>3</v>
      </c>
      <c r="I10" s="1"/>
    </row>
    <row r="11" spans="1:9" x14ac:dyDescent="0.25">
      <c r="A11" s="1"/>
      <c r="B11" s="101" t="s">
        <v>109</v>
      </c>
      <c r="C11" s="102"/>
      <c r="D11" s="102"/>
      <c r="E11" s="102"/>
      <c r="F11" s="103"/>
      <c r="G11" s="26">
        <v>183689.21140625002</v>
      </c>
      <c r="H11" s="14" t="s">
        <v>3</v>
      </c>
      <c r="I11" s="1"/>
    </row>
    <row r="12" spans="1:9" x14ac:dyDescent="0.25">
      <c r="A12" s="1"/>
      <c r="B12" s="98" t="s">
        <v>110</v>
      </c>
      <c r="C12" s="99"/>
      <c r="D12" s="99"/>
      <c r="E12" s="99"/>
      <c r="F12" s="100"/>
      <c r="G12" s="26">
        <f>G10*'Fane 14. Nøgletal'!C17+G11*'Fane 14. Nøgletal'!C18</f>
        <v>151912.88978118336</v>
      </c>
      <c r="H12" s="14" t="s">
        <v>3</v>
      </c>
      <c r="I12" s="1"/>
    </row>
    <row r="13" spans="1:9" x14ac:dyDescent="0.25">
      <c r="A13" s="1"/>
      <c r="B13" s="46"/>
      <c r="C13" s="47"/>
      <c r="D13" s="47"/>
      <c r="E13" s="47"/>
      <c r="F13" s="47"/>
      <c r="G13" s="47"/>
      <c r="H13" s="22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5" t="s">
        <v>111</v>
      </c>
      <c r="C15" s="96"/>
      <c r="D15" s="96"/>
      <c r="E15" s="96"/>
      <c r="F15" s="96"/>
      <c r="G15" s="96"/>
      <c r="H15" s="97"/>
      <c r="I15" s="1"/>
    </row>
    <row r="16" spans="1:9" x14ac:dyDescent="0.25">
      <c r="A16" s="1"/>
      <c r="B16" s="98" t="s">
        <v>112</v>
      </c>
      <c r="C16" s="99"/>
      <c r="D16" s="99"/>
      <c r="E16" s="99"/>
      <c r="F16" s="100"/>
      <c r="G16" s="26">
        <f>(G10+G11-G12)*(1+'Fane 14. Nøgletal'!C11)</f>
        <v>16644837.69561292</v>
      </c>
      <c r="H16" s="14" t="s">
        <v>3</v>
      </c>
      <c r="I16" s="1"/>
    </row>
    <row r="17" spans="1:9" x14ac:dyDescent="0.25">
      <c r="A17" s="1"/>
      <c r="B17" s="98" t="s">
        <v>223</v>
      </c>
      <c r="C17" s="99"/>
      <c r="D17" s="99"/>
      <c r="E17" s="99"/>
      <c r="F17" s="100"/>
      <c r="G17" s="26">
        <v>124793.44138983981</v>
      </c>
      <c r="H17" s="14" t="s">
        <v>3</v>
      </c>
      <c r="I17" s="1"/>
    </row>
    <row r="18" spans="1:9" x14ac:dyDescent="0.25">
      <c r="A18" s="1"/>
      <c r="B18" s="101" t="s">
        <v>113</v>
      </c>
      <c r="C18" s="102"/>
      <c r="D18" s="102"/>
      <c r="E18" s="102"/>
      <c r="F18" s="103"/>
      <c r="G18" s="26">
        <v>0</v>
      </c>
      <c r="H18" s="14" t="s">
        <v>3</v>
      </c>
      <c r="I18" s="1"/>
    </row>
    <row r="19" spans="1:9" x14ac:dyDescent="0.25">
      <c r="A19" s="1"/>
      <c r="B19" s="98" t="s">
        <v>114</v>
      </c>
      <c r="C19" s="99"/>
      <c r="D19" s="99"/>
      <c r="E19" s="99"/>
      <c r="F19" s="100"/>
      <c r="G19" s="26">
        <f>SUM(G16:G18)*'Fane 14. Nøgletal'!C19</f>
        <v>145895.790891924</v>
      </c>
      <c r="H19" s="14" t="s">
        <v>3</v>
      </c>
      <c r="I19" s="1"/>
    </row>
    <row r="20" spans="1:9" x14ac:dyDescent="0.25">
      <c r="A20" s="1"/>
      <c r="B20" s="46"/>
      <c r="C20" s="47"/>
      <c r="D20" s="47"/>
      <c r="E20" s="47"/>
      <c r="F20" s="47"/>
      <c r="G20" s="47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5" t="s">
        <v>115</v>
      </c>
      <c r="C22" s="96"/>
      <c r="D22" s="96"/>
      <c r="E22" s="96"/>
      <c r="F22" s="96"/>
      <c r="G22" s="96"/>
      <c r="H22" s="97"/>
      <c r="I22" s="1"/>
    </row>
    <row r="23" spans="1:9" x14ac:dyDescent="0.25">
      <c r="A23" s="1"/>
      <c r="B23" s="98" t="s">
        <v>116</v>
      </c>
      <c r="C23" s="99"/>
      <c r="D23" s="99"/>
      <c r="E23" s="99"/>
      <c r="F23" s="100"/>
      <c r="G23" s="26">
        <f>(SUM(G16:G18)-G19)*(1+'Fane 14. Nøgletal'!C11)</f>
        <v>16904676.473460108</v>
      </c>
      <c r="H23" s="14" t="s">
        <v>3</v>
      </c>
      <c r="I23" s="1"/>
    </row>
    <row r="24" spans="1:9" x14ac:dyDescent="0.25">
      <c r="A24" s="1"/>
      <c r="B24" s="101" t="s">
        <v>117</v>
      </c>
      <c r="C24" s="102"/>
      <c r="D24" s="102"/>
      <c r="E24" s="102"/>
      <c r="F24" s="103"/>
      <c r="G24" s="26">
        <f>('Fane 2.1. Økonomisk ramme 2020'!C12+'Fane 2.1. Økonomisk ramme 2020'!C14+'Fane 2.1. Økonomisk ramme 2020'!C16)*(1+'Fane 14. Nøgletal'!C12)</f>
        <v>0</v>
      </c>
      <c r="H24" s="14" t="s">
        <v>3</v>
      </c>
      <c r="I24" s="1"/>
    </row>
    <row r="25" spans="1:9" x14ac:dyDescent="0.25">
      <c r="A25" s="1"/>
      <c r="B25" s="98" t="s">
        <v>118</v>
      </c>
      <c r="C25" s="99"/>
      <c r="D25" s="99"/>
      <c r="E25" s="99"/>
      <c r="F25" s="100"/>
      <c r="G25" s="26">
        <f>G23*'Fane 14. Nøgletal'!C19+G24*'Fane 14. Nøgletal'!C20</f>
        <v>147070.68531910292</v>
      </c>
      <c r="H25" s="14" t="s">
        <v>3</v>
      </c>
      <c r="I25" s="1"/>
    </row>
    <row r="26" spans="1:9" x14ac:dyDescent="0.25">
      <c r="A26" s="1"/>
      <c r="B26" s="46"/>
      <c r="C26" s="47"/>
      <c r="D26" s="47"/>
      <c r="E26" s="47"/>
      <c r="F26" s="47"/>
      <c r="G26" s="47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5" t="s">
        <v>190</v>
      </c>
      <c r="C28" s="96"/>
      <c r="D28" s="96"/>
      <c r="E28" s="96"/>
      <c r="F28" s="96"/>
      <c r="G28" s="96"/>
      <c r="H28" s="97"/>
      <c r="I28" s="1"/>
    </row>
    <row r="29" spans="1:9" x14ac:dyDescent="0.25">
      <c r="A29" s="1"/>
      <c r="B29" s="98" t="s">
        <v>119</v>
      </c>
      <c r="C29" s="99"/>
      <c r="D29" s="99"/>
      <c r="E29" s="99"/>
      <c r="F29" s="100"/>
      <c r="G29" s="26">
        <f>(G23+G24-G25)*(1+'Fane 14. Nøgletal'!C12)</f>
        <v>17087730.622167382</v>
      </c>
      <c r="H29" s="14" t="s">
        <v>3</v>
      </c>
      <c r="I29" s="1"/>
    </row>
    <row r="30" spans="1:9" x14ac:dyDescent="0.25">
      <c r="A30" s="1"/>
      <c r="B30" s="98" t="s">
        <v>151</v>
      </c>
      <c r="C30" s="99"/>
      <c r="D30" s="99"/>
      <c r="E30" s="99"/>
      <c r="F30" s="100"/>
      <c r="G30" s="26">
        <f>-'Fane 12. Bortfald'!E19*(1+'Fane 14. Nøgletal'!C12)</f>
        <v>0</v>
      </c>
      <c r="H30" s="14" t="s">
        <v>3</v>
      </c>
      <c r="I30" s="1"/>
    </row>
    <row r="31" spans="1:9" x14ac:dyDescent="0.25">
      <c r="A31" s="1"/>
      <c r="B31" s="98" t="s">
        <v>219</v>
      </c>
      <c r="C31" s="99"/>
      <c r="D31" s="99"/>
      <c r="E31" s="99"/>
      <c r="F31" s="100"/>
      <c r="G31" s="26">
        <f>(G29+G30)*'Fane 14. Nøgletal'!C20</f>
        <v>485291.5496695537</v>
      </c>
      <c r="H31" s="14" t="s">
        <v>3</v>
      </c>
      <c r="I31" s="1"/>
    </row>
    <row r="32" spans="1:9" x14ac:dyDescent="0.25">
      <c r="A32" s="1"/>
      <c r="B32" s="46"/>
      <c r="C32" s="47"/>
      <c r="D32" s="47"/>
      <c r="E32" s="47"/>
      <c r="F32" s="47"/>
      <c r="G32" s="47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5" t="s">
        <v>128</v>
      </c>
      <c r="C34" s="96"/>
      <c r="D34" s="96"/>
      <c r="E34" s="96"/>
      <c r="F34" s="96"/>
      <c r="G34" s="96"/>
      <c r="H34" s="97"/>
      <c r="I34" s="1"/>
    </row>
    <row r="35" spans="1:9" x14ac:dyDescent="0.25">
      <c r="A35" s="1"/>
      <c r="B35" s="98" t="s">
        <v>123</v>
      </c>
      <c r="C35" s="99"/>
      <c r="D35" s="99"/>
      <c r="E35" s="99"/>
      <c r="F35" s="100"/>
      <c r="G35" s="26">
        <f>(G29-G31)*(1+'Fane 14. Nøgletal'!C12)</f>
        <v>16929507.122226037</v>
      </c>
      <c r="H35" s="14" t="s">
        <v>3</v>
      </c>
      <c r="I35" s="1"/>
    </row>
    <row r="36" spans="1:9" x14ac:dyDescent="0.25">
      <c r="A36" s="1"/>
      <c r="B36" s="98" t="s">
        <v>152</v>
      </c>
      <c r="C36" s="99"/>
      <c r="D36" s="99"/>
      <c r="E36" s="99"/>
      <c r="F36" s="100"/>
      <c r="G36" s="26">
        <f>-'Fane 12. Bortfald'!E26*(1+'Fane 14. Nøgletal'!C12)</f>
        <v>0</v>
      </c>
      <c r="H36" s="14" t="s">
        <v>3</v>
      </c>
      <c r="I36" s="1"/>
    </row>
    <row r="37" spans="1:9" x14ac:dyDescent="0.25">
      <c r="A37" s="1"/>
      <c r="B37" s="98" t="s">
        <v>120</v>
      </c>
      <c r="C37" s="99"/>
      <c r="D37" s="99"/>
      <c r="E37" s="99"/>
      <c r="F37" s="100"/>
      <c r="G37" s="26">
        <f>(G35+G36)*'Fane 14. Nøgletal'!C20</f>
        <v>480798.00227121951</v>
      </c>
      <c r="H37" s="14" t="s">
        <v>3</v>
      </c>
      <c r="I37" s="1"/>
    </row>
    <row r="38" spans="1:9" x14ac:dyDescent="0.25">
      <c r="A38" s="1"/>
      <c r="B38" s="46"/>
      <c r="C38" s="47"/>
      <c r="D38" s="47"/>
      <c r="E38" s="47"/>
      <c r="F38" s="47"/>
      <c r="G38" s="47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5" t="s">
        <v>129</v>
      </c>
      <c r="C40" s="96"/>
      <c r="D40" s="96"/>
      <c r="E40" s="96"/>
      <c r="F40" s="96"/>
      <c r="G40" s="96"/>
      <c r="H40" s="97"/>
      <c r="I40" s="1"/>
    </row>
    <row r="41" spans="1:9" x14ac:dyDescent="0.25">
      <c r="A41" s="1"/>
      <c r="B41" s="98" t="s">
        <v>122</v>
      </c>
      <c r="C41" s="99"/>
      <c r="D41" s="99"/>
      <c r="E41" s="99"/>
      <c r="F41" s="100"/>
      <c r="G41" s="26">
        <f>(G35-G37)*(1+'Fane 14. Nøgletal'!C12)</f>
        <v>16772748.689617928</v>
      </c>
      <c r="H41" s="14" t="s">
        <v>3</v>
      </c>
      <c r="I41" s="1"/>
    </row>
    <row r="42" spans="1:9" x14ac:dyDescent="0.25">
      <c r="A42" s="1"/>
      <c r="B42" s="98" t="s">
        <v>153</v>
      </c>
      <c r="C42" s="99"/>
      <c r="D42" s="99"/>
      <c r="E42" s="99"/>
      <c r="F42" s="100"/>
      <c r="G42" s="26">
        <f>-'Fane 12. Bortfald'!E33*(1+'Fane 14. Nøgletal'!C12)</f>
        <v>0</v>
      </c>
      <c r="H42" s="14" t="s">
        <v>3</v>
      </c>
      <c r="I42" s="1"/>
    </row>
    <row r="43" spans="1:9" x14ac:dyDescent="0.25">
      <c r="A43" s="1"/>
      <c r="B43" s="98" t="s">
        <v>121</v>
      </c>
      <c r="C43" s="99"/>
      <c r="D43" s="99"/>
      <c r="E43" s="99"/>
      <c r="F43" s="100"/>
      <c r="G43" s="26">
        <f>(G41+G42)*'Fane 14. Nøgletal'!C20</f>
        <v>476346.0627851492</v>
      </c>
      <c r="H43" s="14" t="s">
        <v>3</v>
      </c>
      <c r="I43" s="1"/>
    </row>
    <row r="44" spans="1:9" x14ac:dyDescent="0.25">
      <c r="A44" s="1"/>
      <c r="B44" s="46"/>
      <c r="C44" s="47"/>
      <c r="D44" s="47"/>
      <c r="E44" s="47"/>
      <c r="F44" s="47"/>
      <c r="G44" s="47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TV8dmyHyZrod1F9nSX7WhGF/RRNP1HO5Xto7aqhnKICUf5vL22nnT/hcWYs44OYf/DgVtfzFT70FUV2dDF+w8A==" saltValue="Ti+YSqB65kBxYVuTNcPrkA==" spinCount="100000" sheet="1" objects="1" scenarios="1"/>
  <mergeCells count="29">
    <mergeCell ref="B17:F1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22:H22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144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10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8" t="s">
        <v>178</v>
      </c>
      <c r="C9" s="99"/>
      <c r="D9" s="99"/>
      <c r="E9" s="99"/>
      <c r="F9" s="100"/>
      <c r="G9" s="25">
        <v>1.4666551122066523E-2</v>
      </c>
      <c r="H9" s="14"/>
      <c r="I9" s="1"/>
    </row>
    <row r="10" spans="1:9" x14ac:dyDescent="0.25">
      <c r="A10" s="1"/>
      <c r="B10" s="98" t="s">
        <v>179</v>
      </c>
      <c r="C10" s="99"/>
      <c r="D10" s="99"/>
      <c r="E10" s="99"/>
      <c r="F10" s="100"/>
      <c r="G10" s="25">
        <v>3.3328172199241766E-3</v>
      </c>
      <c r="H10" s="14"/>
      <c r="I10" s="1"/>
    </row>
    <row r="11" spans="1:9" x14ac:dyDescent="0.25">
      <c r="A11" s="1"/>
      <c r="B11" s="46"/>
      <c r="C11" s="47"/>
      <c r="D11" s="47"/>
      <c r="E11" s="47"/>
      <c r="F11" s="47"/>
      <c r="G11" s="47"/>
      <c r="H11" s="2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25">
      <c r="A13" s="20"/>
      <c r="B13" s="105"/>
      <c r="C13" s="105"/>
      <c r="D13" s="105"/>
      <c r="E13" s="105"/>
      <c r="F13" s="105"/>
      <c r="G13" s="105"/>
      <c r="H13" s="105"/>
      <c r="I13" s="20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nzTWs60TloT3V+yMQKZzvAjXusH0jNU03Qwfi69gkUSjVKG/rRxSsYnJvt6mXaagNJkadwilsYnh1YOk+XyKDw==" saltValue="SJCYjpnTrP66WTJYAmH8GA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Tilknyttet aktivitet</vt:lpstr>
      <vt:lpstr>Fane 12. Bortfald</vt:lpstr>
      <vt:lpstr>Fane 13. Hist. over-underdæk.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2019-09-09T14:45:32Z</dcterms:modified>
</cp:coreProperties>
</file>