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København AS (V09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9" i="40" l="1"/>
  <c r="E16" i="11" l="1"/>
  <c r="E15" i="11"/>
  <c r="E14" i="11"/>
  <c r="E13" i="11"/>
  <c r="E12" i="11"/>
  <c r="E11" i="11"/>
  <c r="E17" i="11" l="1"/>
  <c r="E18" i="11"/>
  <c r="E10" i="11"/>
  <c r="E18" i="32" l="1"/>
  <c r="G7" i="30" l="1"/>
  <c r="E9" i="32" l="1"/>
  <c r="E10" i="40" l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22" i="39" s="1"/>
  <c r="C22" i="15" s="1"/>
  <c r="C37" i="39"/>
  <c r="C36" i="39"/>
  <c r="E21" i="39"/>
  <c r="E20" i="39"/>
  <c r="E22" i="39" s="1"/>
  <c r="C23" i="15" s="1"/>
  <c r="E37" i="39"/>
  <c r="E36" i="39"/>
  <c r="E14" i="39" l="1"/>
  <c r="C25" i="2" s="1"/>
  <c r="E38" i="39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l="1"/>
  <c r="E39" i="32" s="1"/>
  <c r="C23" i="23" s="1"/>
  <c r="E32" i="32"/>
  <c r="C30" i="2" s="1"/>
  <c r="C26" i="15" l="1"/>
  <c r="C25" i="22" s="1"/>
  <c r="F19" i="11"/>
  <c r="C10" i="37" s="1"/>
  <c r="G19" i="11"/>
  <c r="C15" i="37" l="1"/>
  <c r="C16" i="37" s="1"/>
  <c r="C10" i="2" s="1"/>
  <c r="E11" i="21"/>
  <c r="C11" i="21"/>
  <c r="E11" i="29"/>
  <c r="C11" i="29"/>
  <c r="C14" i="19"/>
  <c r="C15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9" i="11"/>
  <c r="E10" i="37" s="1"/>
  <c r="C28" i="2"/>
  <c r="E15" i="37" l="1"/>
  <c r="E16" i="37" s="1"/>
  <c r="C11" i="2" s="1"/>
  <c r="C16" i="15"/>
  <c r="C11" i="15" l="1"/>
  <c r="C10" i="22" s="1"/>
  <c r="G24" i="36"/>
  <c r="G25" i="36" s="1"/>
  <c r="G41" i="30"/>
  <c r="G29" i="36" l="1"/>
  <c r="G30" i="36"/>
  <c r="G37" i="36" s="1"/>
  <c r="C15" i="22"/>
  <c r="G32" i="36" l="1"/>
  <c r="G36" i="36"/>
  <c r="G40" i="36" s="1"/>
  <c r="G45" i="30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<sst xmlns="http://schemas.openxmlformats.org/spreadsheetml/2006/main" count="640" uniqueCount="260">
  <si>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</si>
  <si>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</si>
  <si>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</si>
  <si>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</si>
  <si>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</si>
  <si>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</si>
  <si>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</si>
  <si>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</si>
  <si>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</si>
  <si>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</si>
  <si>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</si>
  <si>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</si>
  <si>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</si>
  <si>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</si>
  <si>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</si>
  <si>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</si>
  <si>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</si>
  <si>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</si>
  <si>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</si>
  <si>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</si>
  <si>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</si>
  <si>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</si>
  <si>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</si>
  <si>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</si>
  <si>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</si>
  <si>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</si>
  <si>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</si>
  <si>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</si>
  <si>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</si>
  <si>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</si>
  <si>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</si>
  <si>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</si>
  <si>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</si>
  <si>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</si>
  <si>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</si>
  <si>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</si>
  <si>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</si>
  <si>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</si>
  <si>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</si>
  <si>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</si>
  <si>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</si>
  <si>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</si>
  <si>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</si>
  <si>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</si>
  <si>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</si>
  <si>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</si>
  <si>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</si>
  <si>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</si>
  <si>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</si>
  <si>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</si>
  <si>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</si>
  <si>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</si>
  <si>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</si>
  <si>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</si>
  <si>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</si>
  <si>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</si>
  <si>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</si>
  <si>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</si>
  <si>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</si>
  <si>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</si>
  <si>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</si>
  <si>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</si>
  <si>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</si>
  <si>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</si>
  <si>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</si>
  <si>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</si>
  <si>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</si>
  <si>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</si>
  <si>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</si>
  <si>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</si>
  <si>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</si>
  <si>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</si>
  <si>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</si>
  <si>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</si>
  <si>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</si>
  <si>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</si>
  <si>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</si>
  <si>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</si>
  <si>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</si>
  <si>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</si>
  <si>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</si>
  <si>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</si>
  <si>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</si>
  <si>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</si>
  <si>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</si>
  <si>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</si>
  <si>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</si>
  <si>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</si>
  <si>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</si>
  <si>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</si>
  <si>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</si>
  <si>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</si>
  <si>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</si>
  <si>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</si>
  <si>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</si>
  <si>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</si>
  <si>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</si>
  <si>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</si>
  <si>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</si>
  <si>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</si>
  <si>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</si>
  <si>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</si>
  <si>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</si>
  <si>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</si>
  <si>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</si>
  <si>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</si>
  <si>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</si>
  <si>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</si>
  <si>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</si>
  <si>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</si>
  <si>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</si>
  <si>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</si>
  <si>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</si>
  <si>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</si>
  <si>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</si>
  <si>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</si>
  <si>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</si>
  <si>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</si>
  <si>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</si>
  <si>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</si>
  <si>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</si>
  <si>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</si>
  <si>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</si>
  <si>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</si>
  <si>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</si>
  <si>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</si>
  <si>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</si>
  <si>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</si>
  <si>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</si>
  <si>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</si>
  <si>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</si>
  <si>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</si>
  <si>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</si>
  <si>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</si>
  <si>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</si>
  <si>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</si>
  <si>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</si>
  <si>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</si>
  <si>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</si>
  <si>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</si>
  <si>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</si>
  <si>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</si>
  <si>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</si>
  <si>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</si>
  <si>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</si>
  <si>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</si>
  <si>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</si>
  <si>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</si>
  <si>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</si>
  <si>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</si>
  <si>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</si>
  <si>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</si>
  <si>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</si>
  <si>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</si>
  <si>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</si>
  <si>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</si>
  <si>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</si>
  <si>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</si>
  <si>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</si>
  <si>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</si>
  <si>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</si>
  <si>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</si>
  <si>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</si>
  <si>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</si>
  <si>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</si>
  <si>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</si>
  <si>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</si>
  <si>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</si>
  <si>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</si>
  <si>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</si>
  <si>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</si>
  <si>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</si>
  <si>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</si>
  <si>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</si>
  <si>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</si>
  <si>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</si>
  <si>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</si>
  <si>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</si>
  <si>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</si>
  <si>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</si>
  <si>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</si>
  <si>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</si>
  <si>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</si>
  <si>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</si>
  <si>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</si>
  <si>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</si>
  <si>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</si>
  <si>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</si>
  <si>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</si>
  <si>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</si>
  <si>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</si>
  <si>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</si>
  <si>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</si>
  <si>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</si>
  <si>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</si>
  <si>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</si>
  <si>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</si>
  <si>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</si>
  <si>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</si>
  <si>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</si>
  <si>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</si>
  <si>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</si>
  <si>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</si>
  <si>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</si>
  <si>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</si>
  <si>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</si>
  <si>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</si>
  <si>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</si>
  <si>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</si>
  <si>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</si>
  <si>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</si>
  <si>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</si>
  <si>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</si>
  <si>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</si>
  <si>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</si>
  <si>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</si>
  <si>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</si>
  <si>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</si>
  <si>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</si>
  <si>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</si>
  <si>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</si>
  <si>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</si>
  <si>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</si>
  <si>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</si>
  <si>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</si>
  <si>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</si>
  <si>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</si>
  <si>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</si>
  <si>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</si>
  <si>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</si>
  <si>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</si>
  <si>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</si>
  <si>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</si>
  <si>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</si>
  <si>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</si>
  <si>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</si>
  <si>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</si>
  <si>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</si>
  <si>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</si>
  <si>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</si>
  <si>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Afgift for ledningsført vand</t>
  </si>
  <si>
    <t>Afgift til Forsyningssekretariatet</t>
  </si>
  <si>
    <t>Ejendomsskat</t>
  </si>
  <si>
    <t>Tjenestemandspensioner</t>
  </si>
  <si>
    <t>Gulddysseskov</t>
  </si>
  <si>
    <t>Ingen engangstillæg</t>
  </si>
  <si>
    <t>Flytning af forsyningsledninger</t>
  </si>
  <si>
    <t>Udvidelse af forsyningsområdet</t>
  </si>
  <si>
    <t>Aktiviteter afledt af indvindingstilladelser</t>
  </si>
  <si>
    <t>SRO-anlæg, vandværk</t>
  </si>
  <si>
    <t>Behandlingsanlæg, kalk anlæg</t>
  </si>
  <si>
    <t>Pumpestation (inkl. evt. hydrofor)/trykforøger, Mek./EL</t>
  </si>
  <si>
    <t>Boring (inkl. etablering, forerør, filter og prøvepumpning)</t>
  </si>
  <si>
    <t>Software HOMIS</t>
  </si>
  <si>
    <t>Software TAG</t>
  </si>
  <si>
    <t>Ø 250 mm &lt; Ledningsnet ≤ Ø 500mm</t>
  </si>
  <si>
    <t>Anlægsprojekter igangsat senest 1. marts 2016</t>
  </si>
  <si>
    <t>Til indregning i de økonomiske rammer for 2020-2022</t>
  </si>
  <si>
    <t xml:space="preserve">Tillæg/fradrag i de økonomiske rammer for 2020-2022 i alt 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</si>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</sst>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239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56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237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55</v>
      </c>
      <c r="D15" s="62" t="s">
        <v>238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57</v>
      </c>
      <c r="D16" s="62" t="s">
        <v>134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223</v>
      </c>
      <c r="D17" s="62" t="s">
        <v>66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205</v>
      </c>
      <c r="D18" s="68" t="s">
        <v>162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206</v>
      </c>
      <c r="D19" s="68" t="s">
        <v>163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10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207</v>
      </c>
      <c r="D21" s="59" t="s">
        <v>17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140</v>
      </c>
      <c r="D22" s="53" t="s">
        <v>161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229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58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208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209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210</v>
      </c>
      <c r="D27" s="53" t="s">
        <v>59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180</v>
      </c>
      <c r="D28" s="53" t="s">
        <v>60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61</v>
      </c>
      <c r="D29" s="50" t="s">
        <v>11</v>
      </c>
      <c r="E29" s="51"/>
      <c r="F29" s="51"/>
      <c r="G29" s="52"/>
      <c r="H29" s="1"/>
      <c r="I29" s="1"/>
    </row>
    <row r="30" spans="1:9" x14ac:dyDescent="0.25">
      <c r="A30" s="1"/>
      <c r="B30" s="1"/>
      <c r="C30" s="6" t="s">
        <v>62</v>
      </c>
      <c r="D30" s="56" t="s">
        <v>181</v>
      </c>
      <c r="E30" s="57"/>
      <c r="F30" s="57"/>
      <c r="G30" s="5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OjT+Ok57rKlI6O8gMjzzNZTD1j/jWBX8zaqWzPW9iUAeOstd/242gSQTVVeRJlbJGrhh7iFmlsRbi1DKdV6a2Q==" saltValue="Oq1m7I3W2ZePnhyNtvBzj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200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69</v>
      </c>
      <c r="C8" s="95"/>
      <c r="D8" s="96"/>
      <c r="E8" s="1"/>
      <c r="F8" s="1"/>
    </row>
    <row r="9" spans="1:6" ht="15" customHeight="1" x14ac:dyDescent="0.25">
      <c r="A9" s="1"/>
      <c r="B9" s="37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240</v>
      </c>
      <c r="C10" s="9">
        <v>197963272</v>
      </c>
      <c r="D10" s="14" t="s">
        <v>3</v>
      </c>
      <c r="E10" s="1"/>
      <c r="F10" s="1"/>
    </row>
    <row r="11" spans="1:6" x14ac:dyDescent="0.25">
      <c r="A11" s="1"/>
      <c r="B11" s="46" t="s">
        <v>241</v>
      </c>
      <c r="C11" s="9">
        <v>689250</v>
      </c>
      <c r="D11" s="14" t="s">
        <v>3</v>
      </c>
      <c r="E11" s="1"/>
      <c r="F11" s="1"/>
    </row>
    <row r="12" spans="1:6" x14ac:dyDescent="0.25">
      <c r="A12" s="1"/>
      <c r="B12" s="46" t="s">
        <v>242</v>
      </c>
      <c r="C12" s="9">
        <v>1967862</v>
      </c>
      <c r="D12" s="14" t="s">
        <v>3</v>
      </c>
      <c r="E12" s="1"/>
      <c r="F12" s="1"/>
    </row>
    <row r="13" spans="1:6" x14ac:dyDescent="0.25">
      <c r="A13" s="1"/>
      <c r="B13" s="46" t="s">
        <v>243</v>
      </c>
      <c r="C13" s="9">
        <v>38009460</v>
      </c>
      <c r="D13" s="14" t="s">
        <v>3</v>
      </c>
      <c r="E13" s="1"/>
      <c r="F13" s="1"/>
    </row>
    <row r="14" spans="1:6" x14ac:dyDescent="0.25">
      <c r="A14" s="1"/>
      <c r="B14" s="44" t="s">
        <v>71</v>
      </c>
      <c r="C14" s="12">
        <f>SUM(C10:C13)</f>
        <v>238629844</v>
      </c>
      <c r="D14" s="13" t="s">
        <v>3</v>
      </c>
      <c r="E14" s="1"/>
      <c r="F14" s="1"/>
    </row>
    <row r="15" spans="1:6" x14ac:dyDescent="0.25">
      <c r="A15" s="1"/>
      <c r="B15" s="44" t="s">
        <v>72</v>
      </c>
      <c r="C15" s="12">
        <f>C14*(1+'Fane 14. Nøgletal'!C12)^2</f>
        <v>248124469.70975798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pJLMqmTNi49CCQzXOS97zFu7GuGl/p1BGGwDytjFj5fiUUWhTs+O5n5OJiicd5Q2yUGmbl+BzWgHMx83Z6tzMQ==" saltValue="Pk1amF85ytsfcTHpUsbqs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204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94" t="s">
        <v>52</v>
      </c>
      <c r="C6" s="95"/>
      <c r="D6" s="95"/>
      <c r="E6" s="95"/>
      <c r="F6" s="96"/>
      <c r="G6" s="1"/>
    </row>
    <row r="7" spans="1:7" ht="15" customHeight="1" x14ac:dyDescent="0.25">
      <c r="A7" s="1"/>
      <c r="B7" s="97" t="s">
        <v>50</v>
      </c>
      <c r="C7" s="98"/>
      <c r="D7" s="99"/>
      <c r="E7" s="9">
        <v>-1633846.802333334</v>
      </c>
      <c r="F7" s="14" t="s">
        <v>3</v>
      </c>
      <c r="G7" s="1"/>
    </row>
    <row r="8" spans="1:7" ht="15" customHeight="1" x14ac:dyDescent="0.25">
      <c r="A8" s="1"/>
      <c r="B8" s="97" t="s">
        <v>51</v>
      </c>
      <c r="C8" s="98"/>
      <c r="D8" s="99"/>
      <c r="E8" s="9">
        <v>-43591586.507452965</v>
      </c>
      <c r="F8" s="14" t="s">
        <v>3</v>
      </c>
      <c r="G8" s="1"/>
    </row>
    <row r="9" spans="1:7" ht="15" customHeight="1" x14ac:dyDescent="0.25">
      <c r="A9" s="1"/>
      <c r="B9" s="108" t="s">
        <v>183</v>
      </c>
      <c r="C9" s="109"/>
      <c r="D9" s="110"/>
      <c r="E9" s="10">
        <f>SUM(E7:E8)</f>
        <v>-45225433.309786297</v>
      </c>
      <c r="F9" s="17" t="s">
        <v>3</v>
      </c>
      <c r="G9" s="1"/>
    </row>
    <row r="10" spans="1:7" ht="15" customHeight="1" x14ac:dyDescent="0.25">
      <c r="A10" s="1"/>
      <c r="B10" s="44"/>
      <c r="C10" s="45"/>
      <c r="D10" s="45"/>
      <c r="E10" s="45"/>
      <c r="F10" s="22"/>
      <c r="G10" s="1"/>
    </row>
    <row r="11" spans="1:7" ht="28.5" customHeight="1" x14ac:dyDescent="0.25">
      <c r="A11" s="1"/>
      <c r="B11" s="85" t="s">
        <v>185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165</v>
      </c>
      <c r="C14" s="95"/>
      <c r="D14" s="95"/>
      <c r="E14" s="95"/>
      <c r="F14" s="96"/>
      <c r="G14" s="1"/>
    </row>
    <row r="15" spans="1:7" x14ac:dyDescent="0.25">
      <c r="A15" s="1"/>
      <c r="B15" s="97" t="s">
        <v>166</v>
      </c>
      <c r="C15" s="98"/>
      <c r="D15" s="99"/>
      <c r="E15" s="9">
        <v>557988398.05614161</v>
      </c>
      <c r="F15" s="14" t="s">
        <v>3</v>
      </c>
      <c r="G15" s="1"/>
    </row>
    <row r="16" spans="1:7" x14ac:dyDescent="0.25">
      <c r="A16" s="1"/>
      <c r="B16" s="97" t="s">
        <v>167</v>
      </c>
      <c r="C16" s="98"/>
      <c r="D16" s="99"/>
      <c r="E16" s="9">
        <v>599638686</v>
      </c>
      <c r="F16" s="14" t="s">
        <v>3</v>
      </c>
      <c r="G16" s="1"/>
    </row>
    <row r="17" spans="1:7" x14ac:dyDescent="0.25">
      <c r="A17" s="1"/>
      <c r="B17" s="97" t="s">
        <v>49</v>
      </c>
      <c r="C17" s="98"/>
      <c r="D17" s="99"/>
      <c r="E17" s="9">
        <v>0</v>
      </c>
      <c r="F17" s="14" t="s">
        <v>3</v>
      </c>
      <c r="G17" s="1"/>
    </row>
    <row r="18" spans="1:7" x14ac:dyDescent="0.25">
      <c r="A18" s="1"/>
      <c r="B18" s="108" t="s">
        <v>184</v>
      </c>
      <c r="C18" s="109"/>
      <c r="D18" s="110"/>
      <c r="E18" s="10">
        <f>E15-(E16-E17)</f>
        <v>-41650287.943858385</v>
      </c>
      <c r="F18" s="17" t="s">
        <v>3</v>
      </c>
      <c r="G18" s="1"/>
    </row>
    <row r="19" spans="1:7" x14ac:dyDescent="0.25">
      <c r="A19" s="1"/>
      <c r="B19" s="44"/>
      <c r="C19" s="45"/>
      <c r="D19" s="45"/>
      <c r="E19" s="45"/>
      <c r="F19" s="22"/>
      <c r="G19" s="1"/>
    </row>
    <row r="20" spans="1:7" ht="27.75" customHeight="1" x14ac:dyDescent="0.25">
      <c r="A20" s="1"/>
      <c r="B20" s="85" t="s">
        <v>187</v>
      </c>
      <c r="C20" s="86"/>
      <c r="D20" s="86"/>
      <c r="E20" s="86"/>
      <c r="F20" s="8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4" t="s">
        <v>77</v>
      </c>
      <c r="C23" s="95"/>
      <c r="D23" s="95"/>
      <c r="E23" s="95"/>
      <c r="F23" s="96"/>
      <c r="G23" s="1"/>
    </row>
    <row r="24" spans="1:7" x14ac:dyDescent="0.25">
      <c r="A24" s="1"/>
      <c r="B24" s="97" t="s">
        <v>78</v>
      </c>
      <c r="C24" s="98"/>
      <c r="D24" s="99"/>
      <c r="E24" s="9">
        <v>547685098.33427179</v>
      </c>
      <c r="F24" s="14" t="s">
        <v>3</v>
      </c>
      <c r="G24" s="1"/>
    </row>
    <row r="25" spans="1:7" x14ac:dyDescent="0.25">
      <c r="A25" s="1"/>
      <c r="B25" s="97" t="s">
        <v>79</v>
      </c>
      <c r="C25" s="98"/>
      <c r="D25" s="99"/>
      <c r="E25" s="9">
        <v>579109537</v>
      </c>
      <c r="F25" s="14" t="s">
        <v>3</v>
      </c>
      <c r="G25" s="1"/>
    </row>
    <row r="26" spans="1:7" x14ac:dyDescent="0.25">
      <c r="A26" s="1"/>
      <c r="B26" s="97" t="s">
        <v>49</v>
      </c>
      <c r="C26" s="98"/>
      <c r="D26" s="99"/>
      <c r="E26" s="9">
        <v>0</v>
      </c>
      <c r="F26" s="14" t="s">
        <v>3</v>
      </c>
      <c r="G26" s="1"/>
    </row>
    <row r="27" spans="1:7" x14ac:dyDescent="0.25">
      <c r="A27" s="1"/>
      <c r="B27" s="108" t="s">
        <v>184</v>
      </c>
      <c r="C27" s="109"/>
      <c r="D27" s="110"/>
      <c r="E27" s="10">
        <f>E24-(E25-E26)</f>
        <v>-31424438.665728211</v>
      </c>
      <c r="F27" s="17" t="s">
        <v>3</v>
      </c>
      <c r="G27" s="1"/>
    </row>
    <row r="28" spans="1:7" x14ac:dyDescent="0.25">
      <c r="A28" s="1"/>
      <c r="B28" s="44"/>
      <c r="C28" s="45"/>
      <c r="D28" s="45"/>
      <c r="E28" s="45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4" t="s">
        <v>257</v>
      </c>
      <c r="C31" s="95"/>
      <c r="D31" s="95"/>
      <c r="E31" s="95"/>
      <c r="F31" s="96"/>
      <c r="G31" s="1"/>
    </row>
    <row r="32" spans="1:7" x14ac:dyDescent="0.25">
      <c r="A32" s="1"/>
      <c r="B32" s="108" t="s">
        <v>258</v>
      </c>
      <c r="C32" s="109"/>
      <c r="D32" s="110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-21718930.313411169</v>
      </c>
      <c r="F32" s="17" t="s">
        <v>3</v>
      </c>
      <c r="G32" s="1"/>
    </row>
    <row r="33" spans="1:7" x14ac:dyDescent="0.25">
      <c r="A33" s="1"/>
      <c r="B33" s="94"/>
      <c r="C33" s="95"/>
      <c r="D33" s="95"/>
      <c r="E33" s="95"/>
      <c r="F33" s="96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189</v>
      </c>
      <c r="C36" s="95"/>
      <c r="D36" s="95"/>
      <c r="E36" s="95"/>
      <c r="F36" s="96"/>
      <c r="G36" s="1"/>
    </row>
    <row r="37" spans="1:7" x14ac:dyDescent="0.25">
      <c r="A37" s="1"/>
      <c r="B37" s="103" t="s">
        <v>53</v>
      </c>
      <c r="C37" s="104"/>
      <c r="D37" s="105"/>
      <c r="E37" s="9">
        <f>IF(AND(E9&gt;0,E18&gt;0),IF(E18+E27&gt;=0,0,IF(E18+E27&lt;0,E18+E27,0)),IF(AND(E9&lt;0,E18&gt;0,ABS(E9)&lt;ABS(E18)),IF(E9+E18+E27&gt;=0,0,IF(E9+E18+E27&lt;0,E9+E18+E27,0)),IF(E27&gt;=0,0,E27)))</f>
        <v>-31424438.665728211</v>
      </c>
      <c r="F37" s="14" t="s">
        <v>3</v>
      </c>
      <c r="G37" s="1"/>
    </row>
    <row r="38" spans="1:7" x14ac:dyDescent="0.25">
      <c r="A38" s="1"/>
      <c r="B38" s="103" t="s">
        <v>182</v>
      </c>
      <c r="C38" s="104"/>
      <c r="D38" s="105"/>
      <c r="E38" s="9">
        <v>4</v>
      </c>
      <c r="F38" s="14" t="s">
        <v>27</v>
      </c>
      <c r="G38" s="1"/>
    </row>
    <row r="39" spans="1:7" x14ac:dyDescent="0.25">
      <c r="A39" s="1"/>
      <c r="B39" s="108" t="s">
        <v>190</v>
      </c>
      <c r="C39" s="109"/>
      <c r="D39" s="110"/>
      <c r="E39" s="10">
        <f>E37/E38</f>
        <v>-7856109.6664320529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ksMld9BxpFCvr79/ecNt8ojMujrftITsPuP44DMJSSR4rxhFx+ygAxusDYxeLpa96kR6mcykKGeUgMq/bMQ5A==" saltValue="fTUoNXM2vdk8iu+CElBQh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231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159</v>
      </c>
      <c r="C8" s="95"/>
      <c r="D8" s="95"/>
      <c r="E8" s="95"/>
      <c r="F8" s="96"/>
      <c r="G8" s="1"/>
    </row>
    <row r="9" spans="1:7" ht="29.25" customHeight="1" x14ac:dyDescent="0.25">
      <c r="A9" s="1"/>
      <c r="B9" s="91" t="s">
        <v>164</v>
      </c>
      <c r="C9" s="92"/>
      <c r="D9" s="93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904743.411488913</v>
      </c>
      <c r="F9" s="11" t="s">
        <v>3</v>
      </c>
      <c r="G9" s="1"/>
    </row>
    <row r="10" spans="1:7" x14ac:dyDescent="0.25">
      <c r="A10" s="1"/>
      <c r="B10" s="44" t="s">
        <v>175</v>
      </c>
      <c r="C10" s="45"/>
      <c r="D10" s="45"/>
      <c r="E10" s="12">
        <f>E9</f>
        <v>904743.411488913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TjQ1L+8ekbrbgdf4R0f3TSOybbKLwOuPK70iyVygSHgud/2m5WGF0uRjL3b+ltOcq/jFpJdjoSZebY+/cWg1Q==" saltValue="BmHUZGGxeIs1Vho1w6MOQ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232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233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39"/>
      <c r="I9" s="1"/>
    </row>
    <row r="10" spans="1:9" x14ac:dyDescent="0.25">
      <c r="A10" s="1"/>
      <c r="B10" s="114" t="s">
        <v>249</v>
      </c>
      <c r="C10" s="115">
        <v>10</v>
      </c>
      <c r="D10" s="9">
        <v>1809047</v>
      </c>
      <c r="E10" s="9">
        <f>IFERROR(D10/C10,0)</f>
        <v>180904.7</v>
      </c>
      <c r="F10" s="9">
        <v>0</v>
      </c>
      <c r="G10" s="9">
        <v>16378</v>
      </c>
      <c r="H10" s="14" t="s">
        <v>3</v>
      </c>
      <c r="I10" s="1"/>
    </row>
    <row r="11" spans="1:9" ht="26.25" x14ac:dyDescent="0.25">
      <c r="A11" s="1"/>
      <c r="B11" s="114" t="s">
        <v>250</v>
      </c>
      <c r="C11" s="115">
        <v>25</v>
      </c>
      <c r="D11" s="9">
        <v>3365620</v>
      </c>
      <c r="E11" s="9">
        <f t="shared" ref="E11:E16" si="0">IFERROR(D11/C11,0)</f>
        <v>134624.79999999999</v>
      </c>
      <c r="F11" s="9">
        <v>0</v>
      </c>
      <c r="G11" s="9">
        <v>30470</v>
      </c>
      <c r="H11" s="14" t="s">
        <v>3</v>
      </c>
      <c r="I11" s="1"/>
    </row>
    <row r="12" spans="1:9" ht="39" x14ac:dyDescent="0.25">
      <c r="A12" s="1"/>
      <c r="B12" s="114" t="s">
        <v>251</v>
      </c>
      <c r="C12" s="115">
        <v>25</v>
      </c>
      <c r="D12" s="9">
        <v>9022</v>
      </c>
      <c r="E12" s="9">
        <f t="shared" si="0"/>
        <v>360.88</v>
      </c>
      <c r="F12" s="9">
        <v>0</v>
      </c>
      <c r="G12" s="9">
        <v>82</v>
      </c>
      <c r="H12" s="14" t="s">
        <v>3</v>
      </c>
      <c r="I12" s="1"/>
    </row>
    <row r="13" spans="1:9" ht="39" x14ac:dyDescent="0.25">
      <c r="A13" s="1"/>
      <c r="B13" s="114" t="s">
        <v>252</v>
      </c>
      <c r="C13" s="115">
        <v>30</v>
      </c>
      <c r="D13" s="9">
        <v>25522218</v>
      </c>
      <c r="E13" s="9">
        <f t="shared" si="0"/>
        <v>850740.6</v>
      </c>
      <c r="F13" s="9">
        <v>0</v>
      </c>
      <c r="G13" s="9">
        <v>231057</v>
      </c>
      <c r="H13" s="14" t="s">
        <v>3</v>
      </c>
      <c r="I13" s="1"/>
    </row>
    <row r="14" spans="1:9" ht="39" x14ac:dyDescent="0.25">
      <c r="A14" s="1"/>
      <c r="B14" s="114" t="s">
        <v>252</v>
      </c>
      <c r="C14" s="115">
        <v>30</v>
      </c>
      <c r="D14" s="9">
        <v>315686</v>
      </c>
      <c r="E14" s="9">
        <f t="shared" si="0"/>
        <v>10522.866666666667</v>
      </c>
      <c r="F14" s="9">
        <v>0</v>
      </c>
      <c r="G14" s="9">
        <v>2858</v>
      </c>
      <c r="H14" s="14" t="s">
        <v>3</v>
      </c>
      <c r="I14" s="1"/>
    </row>
    <row r="15" spans="1:9" ht="39" x14ac:dyDescent="0.25">
      <c r="A15" s="1"/>
      <c r="B15" s="114" t="s">
        <v>252</v>
      </c>
      <c r="C15" s="115">
        <v>30</v>
      </c>
      <c r="D15" s="9">
        <v>235776</v>
      </c>
      <c r="E15" s="9">
        <f t="shared" si="0"/>
        <v>7859.2</v>
      </c>
      <c r="F15" s="9">
        <v>0</v>
      </c>
      <c r="G15" s="9">
        <v>2135</v>
      </c>
      <c r="H15" s="14" t="s">
        <v>3</v>
      </c>
      <c r="I15" s="1"/>
    </row>
    <row r="16" spans="1:9" x14ac:dyDescent="0.25">
      <c r="A16" s="1"/>
      <c r="B16" s="114" t="s">
        <v>253</v>
      </c>
      <c r="C16" s="115">
        <v>5</v>
      </c>
      <c r="D16" s="9">
        <v>136146</v>
      </c>
      <c r="E16" s="9">
        <f t="shared" si="0"/>
        <v>27229.200000000001</v>
      </c>
      <c r="F16" s="9">
        <v>0</v>
      </c>
      <c r="G16" s="9">
        <v>1233</v>
      </c>
      <c r="H16" s="14" t="s">
        <v>3</v>
      </c>
      <c r="I16" s="1"/>
    </row>
    <row r="17" spans="1:9" x14ac:dyDescent="0.25">
      <c r="A17" s="1"/>
      <c r="B17" s="114" t="s">
        <v>254</v>
      </c>
      <c r="C17" s="115">
        <v>5</v>
      </c>
      <c r="D17" s="9">
        <v>82966</v>
      </c>
      <c r="E17" s="9">
        <f t="shared" ref="E17:E18" si="1">IFERROR(D17/C17,0)</f>
        <v>16593.2</v>
      </c>
      <c r="F17" s="9">
        <v>0</v>
      </c>
      <c r="G17" s="9">
        <v>751</v>
      </c>
      <c r="H17" s="14" t="s">
        <v>3</v>
      </c>
      <c r="I17" s="1"/>
    </row>
    <row r="18" spans="1:9" ht="26.25" x14ac:dyDescent="0.25">
      <c r="A18" s="1"/>
      <c r="B18" s="114" t="s">
        <v>255</v>
      </c>
      <c r="C18" s="115">
        <v>75</v>
      </c>
      <c r="D18" s="9">
        <v>704344</v>
      </c>
      <c r="E18" s="9">
        <f t="shared" si="1"/>
        <v>9391.253333333334</v>
      </c>
      <c r="F18" s="9"/>
      <c r="G18" s="9">
        <v>6377</v>
      </c>
      <c r="H18" s="14" t="s">
        <v>3</v>
      </c>
      <c r="I18" s="1"/>
    </row>
    <row r="19" spans="1:9" x14ac:dyDescent="0.25">
      <c r="A19" s="1"/>
      <c r="B19" s="94" t="s">
        <v>234</v>
      </c>
      <c r="C19" s="95"/>
      <c r="D19" s="96"/>
      <c r="E19" s="12">
        <f>SUM(E10:E18)</f>
        <v>1238226.7</v>
      </c>
      <c r="F19" s="12">
        <f>SUM(F10:F18)</f>
        <v>0</v>
      </c>
      <c r="G19" s="12">
        <f>SUM(G10:G18)</f>
        <v>291341</v>
      </c>
      <c r="H19" s="13" t="s">
        <v>3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7xF5fpxdEc/xhbtevglckwVeH8QEAfWTKYaPkt8uE3qI5HHdtFZUAW3ePWev0bP37xeOgKEImP4MN2uEWfDgSg==" saltValue="FKjI+L+3vIbfnUt4Mx5afg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137</v>
      </c>
      <c r="C8" s="45"/>
      <c r="D8" s="45"/>
      <c r="E8" s="45"/>
      <c r="F8" s="22"/>
      <c r="G8" s="1"/>
    </row>
    <row r="9" spans="1:7" ht="17.25" customHeight="1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256</v>
      </c>
      <c r="C10" s="24">
        <f>'Fane 9. Anlægsprojekter'!F19</f>
        <v>0</v>
      </c>
      <c r="D10" s="14" t="s">
        <v>3</v>
      </c>
      <c r="E10" s="9">
        <f>SUM('Fane 9. Anlægsprojekter'!E19,'Fane 9. Anlægsprojekter'!G19)</f>
        <v>1529567.7</v>
      </c>
      <c r="F10" s="14" t="s">
        <v>3</v>
      </c>
      <c r="G10" s="1"/>
    </row>
    <row r="11" spans="1:7" x14ac:dyDescent="0.25">
      <c r="A11" s="1"/>
      <c r="B11" s="116" t="s">
        <v>244</v>
      </c>
      <c r="C11" s="24">
        <v>500000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116" t="s">
        <v>246</v>
      </c>
      <c r="C12" s="24">
        <v>0</v>
      </c>
      <c r="D12" s="14" t="s">
        <v>3</v>
      </c>
      <c r="E12" s="9">
        <v>285576</v>
      </c>
      <c r="F12" s="14" t="s">
        <v>3</v>
      </c>
      <c r="G12" s="1"/>
    </row>
    <row r="13" spans="1:7" x14ac:dyDescent="0.25">
      <c r="A13" s="1"/>
      <c r="B13" s="116" t="s">
        <v>247</v>
      </c>
      <c r="C13" s="24">
        <v>0</v>
      </c>
      <c r="D13" s="14" t="s">
        <v>3</v>
      </c>
      <c r="E13" s="9">
        <v>54382</v>
      </c>
      <c r="F13" s="14" t="s">
        <v>3</v>
      </c>
      <c r="G13" s="1"/>
    </row>
    <row r="14" spans="1:7" x14ac:dyDescent="0.25">
      <c r="A14" s="1"/>
      <c r="B14" s="116" t="s">
        <v>248</v>
      </c>
      <c r="C14" s="24">
        <v>2028690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44" t="s">
        <v>63</v>
      </c>
      <c r="C15" s="12">
        <f>SUM(C10:C14)</f>
        <v>2528690</v>
      </c>
      <c r="D15" s="13" t="s">
        <v>3</v>
      </c>
      <c r="E15" s="12">
        <f>SUM(E10:E14)</f>
        <v>1869525.7</v>
      </c>
      <c r="F15" s="13" t="s">
        <v>3</v>
      </c>
      <c r="G15" s="1"/>
    </row>
    <row r="16" spans="1:7" x14ac:dyDescent="0.25">
      <c r="A16" s="1"/>
      <c r="B16" s="44" t="s">
        <v>74</v>
      </c>
      <c r="C16" s="12">
        <f>C15*(1+'Fane 14. Nøgletal'!C12)</f>
        <v>2578505.193</v>
      </c>
      <c r="D16" s="13" t="s">
        <v>3</v>
      </c>
      <c r="E16" s="12">
        <f>E15*(1+'Fane 14. Nøgletal'!C12)</f>
        <v>1906355.35629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H2YsXI3YuMZAZaD+Lc1cH8HdPNpp1IFmg4SZEAPG7zDanYM1YrQNxJJghucpgw+evw/Mt9wRfPU3yR/AYm6CiA==" saltValue="0BcRuEWaTqJahGm0eo5q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202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168</v>
      </c>
      <c r="C8" s="95"/>
      <c r="D8" s="95"/>
      <c r="E8" s="95"/>
      <c r="F8" s="96"/>
      <c r="G8" s="1"/>
    </row>
    <row r="9" spans="1:7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4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169</v>
      </c>
      <c r="C16" s="95"/>
      <c r="D16" s="95"/>
      <c r="E16" s="95"/>
      <c r="F16" s="96"/>
      <c r="G16" s="1"/>
    </row>
    <row r="17" spans="1:7" x14ac:dyDescent="0.25">
      <c r="A17" s="1"/>
      <c r="B17" s="40" t="s">
        <v>24</v>
      </c>
      <c r="C17" s="40" t="s">
        <v>16</v>
      </c>
      <c r="D17" s="41"/>
      <c r="E17" s="40" t="s">
        <v>47</v>
      </c>
      <c r="F17" s="39"/>
      <c r="G17" s="1"/>
    </row>
    <row r="18" spans="1:7" x14ac:dyDescent="0.25">
      <c r="A18" s="1"/>
      <c r="B18" s="27" t="s">
        <v>245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4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170</v>
      </c>
      <c r="C24" s="95"/>
      <c r="D24" s="95"/>
      <c r="E24" s="95"/>
      <c r="F24" s="96"/>
      <c r="G24" s="1"/>
    </row>
    <row r="25" spans="1:7" x14ac:dyDescent="0.25">
      <c r="A25" s="1"/>
      <c r="B25" s="40" t="s">
        <v>24</v>
      </c>
      <c r="C25" s="40" t="s">
        <v>16</v>
      </c>
      <c r="D25" s="41"/>
      <c r="E25" s="40" t="s">
        <v>47</v>
      </c>
      <c r="F25" s="39"/>
      <c r="G25" s="1"/>
    </row>
    <row r="26" spans="1:7" x14ac:dyDescent="0.25">
      <c r="A26" s="1"/>
      <c r="B26" s="27" t="s">
        <v>245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4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171</v>
      </c>
      <c r="C32" s="95"/>
      <c r="D32" s="95"/>
      <c r="E32" s="95"/>
      <c r="F32" s="96"/>
      <c r="G32" s="1"/>
    </row>
    <row r="33" spans="1:7" x14ac:dyDescent="0.25">
      <c r="A33" s="1"/>
      <c r="B33" s="40" t="s">
        <v>24</v>
      </c>
      <c r="C33" s="40" t="s">
        <v>16</v>
      </c>
      <c r="D33" s="41"/>
      <c r="E33" s="40" t="s">
        <v>47</v>
      </c>
      <c r="F33" s="39"/>
      <c r="G33" s="1"/>
    </row>
    <row r="34" spans="1:7" x14ac:dyDescent="0.25">
      <c r="A34" s="1"/>
      <c r="B34" s="27" t="s">
        <v>245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4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lry18B0ErgzIdUAR14OAD5KAsypG+D7J6PHGFxwIFkPOKGMq8p9hkNY2vVBbzGh3Nahn3Qpd5dr5GwZf6DHVA==" saltValue="/0Dk55q2BlBaRxMxIZwBc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228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31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32</v>
      </c>
      <c r="C9" s="91" t="s">
        <v>16</v>
      </c>
      <c r="D9" s="93"/>
      <c r="E9" s="91" t="s">
        <v>47</v>
      </c>
      <c r="F9" s="93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HX3XwXya39PJbRuunQONU1D67ggybESLGjmwcrFPS71TVDSJ0rJ3/0YKKKQftW9fGLVjpTOccXsY6mlCKytLw==" saltValue="AGhjOCfEv/cnkh0ISWkZM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201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25</v>
      </c>
      <c r="C9" s="38" t="s">
        <v>16</v>
      </c>
      <c r="D9" s="39"/>
      <c r="E9" s="38" t="s">
        <v>47</v>
      </c>
      <c r="F9" s="39"/>
      <c r="G9" s="1"/>
    </row>
    <row r="10" spans="1:7" x14ac:dyDescent="0.25">
      <c r="A10" s="1"/>
      <c r="B10" s="27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157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25</v>
      </c>
      <c r="C15" s="38" t="s">
        <v>16</v>
      </c>
      <c r="D15" s="39"/>
      <c r="E15" s="38" t="s">
        <v>47</v>
      </c>
      <c r="F15" s="39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4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4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25</v>
      </c>
      <c r="C21" s="38" t="s">
        <v>16</v>
      </c>
      <c r="D21" s="39"/>
      <c r="E21" s="38" t="s">
        <v>47</v>
      </c>
      <c r="F21" s="39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4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4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158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25</v>
      </c>
      <c r="C27" s="38" t="s">
        <v>16</v>
      </c>
      <c r="D27" s="39"/>
      <c r="E27" s="38" t="s">
        <v>47</v>
      </c>
      <c r="F27" s="39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4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4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VqQ8qL+Ti9CTjwj6tBBLSJORyOaGnUAveIVYeCgwBUoJWmk2hXByrVoQEUgLyDoxSn8ua73wGVq/RVlax4v8g==" saltValue="LRflz0atKEZF4Il+DL2Vo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227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21834000</v>
      </c>
      <c r="H9" s="14" t="s">
        <v>3</v>
      </c>
      <c r="I9" s="1"/>
    </row>
    <row r="10" spans="1:9" x14ac:dyDescent="0.25">
      <c r="A10" s="1"/>
      <c r="B10" s="97" t="s">
        <v>135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80</v>
      </c>
      <c r="C11" s="98"/>
      <c r="D11" s="98"/>
      <c r="E11" s="98"/>
      <c r="F11" s="99"/>
      <c r="G11" s="9">
        <v>-21834000</v>
      </c>
      <c r="H11" s="14" t="s">
        <v>3</v>
      </c>
      <c r="I11" s="1"/>
    </row>
    <row r="12" spans="1:9" x14ac:dyDescent="0.25">
      <c r="A12" s="1"/>
      <c r="B12" s="111" t="s">
        <v>15</v>
      </c>
      <c r="C12" s="112"/>
      <c r="D12" s="112"/>
      <c r="E12" s="112"/>
      <c r="F12" s="113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27</v>
      </c>
      <c r="I13" s="1"/>
    </row>
    <row r="14" spans="1:9" x14ac:dyDescent="0.25">
      <c r="A14" s="1"/>
      <c r="B14" s="94" t="s">
        <v>136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WnLzPdV2NnA9YRQzIfW1ItUZU03KxDjAEE1bdde3LaS+RXjoAhF30KIcet/LcJxxzX4pW0FkTplCjjA/eKXOA==" saltValue="CkwwK0Juc9iD6yVfQcLjr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54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44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44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4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44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8FGRBAaQjuSud8Mk9Zec+m8WBSUCXzYOCaPH6GrG5szOIvBQMoua4KmI9zBCn1tP5ho8KRvqc3sJ7lDNDxgNuA==" saltValue="3wAGplC/3yoSp3fVrKiJb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65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x14ac:dyDescent="0.25">
      <c r="A9" s="1"/>
      <c r="B9" s="43" t="s">
        <v>34</v>
      </c>
      <c r="C9" s="7">
        <f>'Fane 3. Omkostninger i ØR2019'!E22</f>
        <v>305750293.39604408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tillæg'!C16</f>
        <v>2578505.193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tillæg'!E16</f>
        <v>1906355.35629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5255531.7112141578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-3889373.109122491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-1096496.3066613425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310504816.24076438</v>
      </c>
      <c r="D20" s="11" t="s">
        <v>3</v>
      </c>
      <c r="E20" s="1"/>
    </row>
    <row r="21" spans="1:5" ht="15" customHeight="1" x14ac:dyDescent="0.25">
      <c r="A21" s="1"/>
      <c r="B21" s="44" t="s">
        <v>17</v>
      </c>
      <c r="C21" s="45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</f>
        <v>248124469.70975798</v>
      </c>
      <c r="D22" s="11" t="s">
        <v>3</v>
      </c>
      <c r="E22" s="1"/>
    </row>
    <row r="23" spans="1:5" ht="15" customHeight="1" x14ac:dyDescent="0.25">
      <c r="A23" s="1"/>
      <c r="B23" s="44" t="s">
        <v>142</v>
      </c>
      <c r="C23" s="45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4" t="s">
        <v>11</v>
      </c>
      <c r="C27" s="45"/>
      <c r="D27" s="22"/>
      <c r="E27" s="1"/>
    </row>
    <row r="28" spans="1:5" ht="15" customHeight="1" x14ac:dyDescent="0.25">
      <c r="A28" s="1"/>
      <c r="B28" s="38" t="s">
        <v>19</v>
      </c>
      <c r="C28" s="10">
        <f>'Fane 13. Hist. over-underdæk.'!G14</f>
        <v>0</v>
      </c>
      <c r="D28" s="11" t="s">
        <v>3</v>
      </c>
      <c r="E28" s="1"/>
    </row>
    <row r="29" spans="1:5" x14ac:dyDescent="0.25">
      <c r="A29" s="1"/>
      <c r="B29" s="44" t="s">
        <v>53</v>
      </c>
      <c r="C29" s="45"/>
      <c r="D29" s="22"/>
      <c r="E29" s="1"/>
    </row>
    <row r="30" spans="1:5" x14ac:dyDescent="0.25">
      <c r="A30" s="1"/>
      <c r="B30" s="37" t="s">
        <v>186</v>
      </c>
      <c r="C30" s="10">
        <f>'Fane 7. Kontrol af ØR2018'!E32</f>
        <v>-21718930.313411169</v>
      </c>
      <c r="D30" s="11" t="s">
        <v>3</v>
      </c>
      <c r="E30" s="1"/>
    </row>
    <row r="31" spans="1:5" x14ac:dyDescent="0.25">
      <c r="A31" s="1"/>
      <c r="B31" s="44" t="s">
        <v>229</v>
      </c>
      <c r="C31" s="45"/>
      <c r="D31" s="22"/>
      <c r="E31" s="1"/>
    </row>
    <row r="32" spans="1:5" x14ac:dyDescent="0.25">
      <c r="A32" s="1"/>
      <c r="B32" s="38" t="s">
        <v>230</v>
      </c>
      <c r="C32" s="10">
        <f>'Fane 8. Korrektioner'!E10</f>
        <v>904743.411488913</v>
      </c>
      <c r="D32" s="11" t="s">
        <v>3</v>
      </c>
      <c r="E32" s="1"/>
    </row>
    <row r="33" spans="1:5" x14ac:dyDescent="0.25">
      <c r="A33" s="1"/>
      <c r="B33" s="44" t="s">
        <v>35</v>
      </c>
      <c r="C33" s="12">
        <f>SUM(C20,C22,C26,C28,C30,C32)</f>
        <v>537815099.0486002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3UPemyW2wE5/Mafv52AQ2oAnADzRYoq89f2QJ6rB+I9tKnALp2BoMqneIjEKFvmpZhC5nSocwCcgLeMh9eeS2A==" saltValue="ux+UGF4PybksHOLoMKfj/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85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ht="15" customHeight="1" x14ac:dyDescent="0.25">
      <c r="A9" s="1"/>
      <c r="B9" s="43" t="s">
        <v>36</v>
      </c>
      <c r="C9" s="7">
        <f>'Fane 2.1. Økonomisk ramme 2020'!C20</f>
        <v>310504816.24076438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2576715.7103960579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1888703.4969955401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5260034.568249614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-3876145.7404531091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-1104370.589061331</v>
      </c>
      <c r="D17" s="8" t="s">
        <v>3</v>
      </c>
      <c r="E17" s="1"/>
    </row>
    <row r="18" spans="1:5" ht="15" customHeight="1" x14ac:dyDescent="0.25">
      <c r="A18" s="1"/>
      <c r="B18" s="37" t="s">
        <v>28</v>
      </c>
      <c r="C18" s="10">
        <f>SUM(C9,C12:C17)</f>
        <v>310784334.47949958</v>
      </c>
      <c r="D18" s="11" t="s">
        <v>3</v>
      </c>
      <c r="E18" s="1"/>
    </row>
    <row r="19" spans="1:5" x14ac:dyDescent="0.25">
      <c r="A19" s="1"/>
      <c r="B19" s="44" t="s">
        <v>17</v>
      </c>
      <c r="C19" s="45"/>
      <c r="D19" s="22"/>
      <c r="E19" s="1"/>
    </row>
    <row r="20" spans="1:5" ht="15" customHeight="1" x14ac:dyDescent="0.25">
      <c r="A20" s="1"/>
      <c r="B20" s="38" t="s">
        <v>17</v>
      </c>
      <c r="C20" s="10">
        <f>'Fane 6. Ikke-påvirkelige omk.'!C15*(1+'Fane 14. Nøgletal'!C12)</f>
        <v>253012521.76304021</v>
      </c>
      <c r="D20" s="11" t="s">
        <v>3</v>
      </c>
      <c r="E20" s="1"/>
    </row>
    <row r="21" spans="1:5" ht="15" customHeight="1" x14ac:dyDescent="0.25">
      <c r="A21" s="1"/>
      <c r="B21" s="44" t="s">
        <v>142</v>
      </c>
      <c r="C21" s="45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4" t="s">
        <v>160</v>
      </c>
      <c r="C25" s="45"/>
      <c r="D25" s="22"/>
      <c r="E25" s="1"/>
    </row>
    <row r="26" spans="1:5" ht="15" customHeight="1" x14ac:dyDescent="0.25">
      <c r="A26" s="1"/>
      <c r="B26" s="37" t="s">
        <v>186</v>
      </c>
      <c r="C26" s="10">
        <f>'Fane 2.1. Økonomisk ramme 2020'!C30</f>
        <v>-21718930.313411169</v>
      </c>
      <c r="D26" s="11" t="s">
        <v>3</v>
      </c>
      <c r="E26" s="1"/>
    </row>
    <row r="27" spans="1:5" x14ac:dyDescent="0.25">
      <c r="A27" s="1"/>
      <c r="B27" s="44" t="s">
        <v>44</v>
      </c>
      <c r="C27" s="12">
        <f>SUM(C18,C20,C24,C26)</f>
        <v>542077925.92912865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J0eQxBYe61UCIJqSUkb4O8TDV6L2EQuvyaF1vrPrnhC/GYv7Ap+MAiKx+0Ng1fW0sqtk1LrzU0Vy2KLATdVrQ==" saltValue="xu2sJ8fabb7t/nsQ5hUr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196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37</v>
      </c>
      <c r="C8" s="7">
        <f>'Fane 2.2. Økonomisk ramme 2021'!C18</f>
        <v>310784334.47949958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2574927.4696930433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1871215.0847391798</v>
      </c>
      <c r="D10" s="8" t="s">
        <v>3</v>
      </c>
      <c r="E10" s="1"/>
    </row>
    <row r="11" spans="1:5" ht="15" customHeight="1" x14ac:dyDescent="0.25">
      <c r="A11" s="1"/>
      <c r="B11" s="43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3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5264704.4518559519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-3862963.7473357338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-1112317.1327494823</v>
      </c>
      <c r="D16" s="8" t="s">
        <v>3</v>
      </c>
      <c r="E16" s="1"/>
    </row>
    <row r="17" spans="1:5" x14ac:dyDescent="0.25">
      <c r="A17" s="1"/>
      <c r="B17" s="37" t="s">
        <v>28</v>
      </c>
      <c r="C17" s="10">
        <f>SUM(C8,C11:C16)</f>
        <v>311073758.05127031</v>
      </c>
      <c r="D17" s="11" t="s">
        <v>3</v>
      </c>
      <c r="E17" s="1"/>
    </row>
    <row r="18" spans="1:5" x14ac:dyDescent="0.25">
      <c r="A18" s="1"/>
      <c r="B18" s="44" t="s">
        <v>17</v>
      </c>
      <c r="C18" s="45"/>
      <c r="D18" s="22"/>
      <c r="E18" s="1"/>
    </row>
    <row r="19" spans="1:5" ht="15" customHeight="1" x14ac:dyDescent="0.25">
      <c r="A19" s="1"/>
      <c r="B19" s="38" t="s">
        <v>17</v>
      </c>
      <c r="C19" s="10">
        <f>'Fane 6. Ikke-påvirkelige omk.'!C15*(1+'Fane 14. Nøgletal'!C12)^2</f>
        <v>257996868.44177213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160</v>
      </c>
      <c r="C24" s="45"/>
      <c r="D24" s="22"/>
      <c r="E24" s="1"/>
    </row>
    <row r="25" spans="1:5" ht="15" customHeight="1" x14ac:dyDescent="0.25">
      <c r="A25" s="1"/>
      <c r="B25" s="37" t="s">
        <v>186</v>
      </c>
      <c r="C25" s="10">
        <f>'Fane 2.2. Økonomisk ramme 2021'!C26</f>
        <v>-21718930.313411169</v>
      </c>
      <c r="D25" s="11" t="s">
        <v>3</v>
      </c>
      <c r="E25" s="1"/>
    </row>
    <row r="26" spans="1:5" x14ac:dyDescent="0.25">
      <c r="A26" s="1"/>
      <c r="B26" s="44" t="s">
        <v>45</v>
      </c>
      <c r="C26" s="12">
        <f>SUM(C17,C19,C23,C25)</f>
        <v>547351696.17963135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rpUjqiOiI27K4GNH7zeoS9QWPDHIc5ER2m8y24IzVl9cIdf594akvY9EQAtGMjKgLhVOECSFkupYVz0fAQQvQ==" saltValue="tDWJain/RhtYM4dt8I64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29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259</v>
      </c>
      <c r="C8" s="7">
        <f>'Fane 2.3. Økonomisk ramme 2022'!C17</f>
        <v>311073758.05127031</v>
      </c>
      <c r="D8" s="8" t="s">
        <v>3</v>
      </c>
      <c r="E8" s="1"/>
    </row>
    <row r="9" spans="1:5" ht="15" customHeight="1" x14ac:dyDescent="0.25">
      <c r="A9" s="1"/>
      <c r="B9" s="43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6128153.0336100245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-3860282.8504950828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-3545209.0118763633</v>
      </c>
      <c r="D14" s="8" t="s">
        <v>3</v>
      </c>
      <c r="E14" s="1"/>
    </row>
    <row r="15" spans="1:5" x14ac:dyDescent="0.25">
      <c r="A15" s="1"/>
      <c r="B15" s="37" t="s">
        <v>28</v>
      </c>
      <c r="C15" s="10">
        <f>SUM(C8:C14)</f>
        <v>309796419.22250891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omk.'!C15*(1+'Fane 14. Nøgletal'!C12)^3</f>
        <v>263079406.75007501</v>
      </c>
      <c r="D17" s="11" t="s">
        <v>3</v>
      </c>
      <c r="E17" s="1"/>
    </row>
    <row r="18" spans="1:5" ht="15" customHeight="1" x14ac:dyDescent="0.25">
      <c r="A18" s="1"/>
      <c r="B18" s="44" t="s">
        <v>142</v>
      </c>
      <c r="C18" s="45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160</v>
      </c>
      <c r="C22" s="45"/>
      <c r="D22" s="22"/>
      <c r="E22" s="1"/>
    </row>
    <row r="23" spans="1:5" ht="15" customHeight="1" x14ac:dyDescent="0.25">
      <c r="A23" s="1"/>
      <c r="B23" s="37" t="s">
        <v>188</v>
      </c>
      <c r="C23" s="10">
        <f>'Fane 7. Kontrol af ØR2018'!E39</f>
        <v>-7856109.6664320529</v>
      </c>
      <c r="D23" s="11" t="s">
        <v>3</v>
      </c>
      <c r="E23" s="1"/>
    </row>
    <row r="24" spans="1:5" x14ac:dyDescent="0.25">
      <c r="A24" s="1"/>
      <c r="B24" s="44" t="s">
        <v>154</v>
      </c>
      <c r="C24" s="12">
        <f>SUM(C15,C17,C21,C23)</f>
        <v>565019716.30615187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iF1ldoMo02Y5SNS4XxiWQyYJjWVh2JDAjINGuda5taEGF70ro6JxNuI+Ua9Sb7l1M7GaWVVupgNHzEF1J1ePA==" saltValue="WJDy2NYMgpgBEl8VHuOQ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84</v>
      </c>
      <c r="C8" s="45"/>
      <c r="D8" s="45"/>
      <c r="E8" s="45"/>
      <c r="F8" s="22"/>
      <c r="G8" s="1"/>
    </row>
    <row r="9" spans="1:7" x14ac:dyDescent="0.25">
      <c r="A9" s="1"/>
      <c r="B9" s="82" t="s">
        <v>81</v>
      </c>
      <c r="C9" s="83"/>
      <c r="D9" s="84"/>
      <c r="E9" s="7">
        <v>303584296.48173469</v>
      </c>
      <c r="F9" s="8" t="s">
        <v>3</v>
      </c>
      <c r="G9" s="1"/>
    </row>
    <row r="10" spans="1:7" x14ac:dyDescent="0.25">
      <c r="A10" s="1"/>
      <c r="B10" s="82" t="s">
        <v>82</v>
      </c>
      <c r="C10" s="83"/>
      <c r="D10" s="84"/>
      <c r="E10" s="7">
        <v>-388407.97529473592</v>
      </c>
      <c r="F10" s="8" t="s">
        <v>3</v>
      </c>
      <c r="G10" s="1"/>
    </row>
    <row r="11" spans="1:7" x14ac:dyDescent="0.25">
      <c r="A11" s="1"/>
      <c r="B11" s="82" t="s">
        <v>83</v>
      </c>
      <c r="C11" s="83"/>
      <c r="D11" s="84"/>
      <c r="E11" s="7">
        <v>-1877509.0809441216</v>
      </c>
      <c r="F11" s="8" t="s">
        <v>3</v>
      </c>
      <c r="G11" s="1"/>
    </row>
    <row r="12" spans="1:7" x14ac:dyDescent="0.25">
      <c r="A12" s="1"/>
      <c r="B12" s="73" t="s">
        <v>67</v>
      </c>
      <c r="C12" s="74"/>
      <c r="D12" s="75"/>
      <c r="E12" s="7">
        <v>0</v>
      </c>
      <c r="F12" s="8" t="s">
        <v>3</v>
      </c>
      <c r="G12" s="1"/>
    </row>
    <row r="13" spans="1:7" x14ac:dyDescent="0.25">
      <c r="A13" s="1"/>
      <c r="B13" s="73" t="s">
        <v>68</v>
      </c>
      <c r="C13" s="74"/>
      <c r="D13" s="75"/>
      <c r="E13" s="9">
        <v>4152451.1528999996</v>
      </c>
      <c r="F13" s="8" t="s">
        <v>3</v>
      </c>
      <c r="G13" s="1"/>
    </row>
    <row r="14" spans="1:7" x14ac:dyDescent="0.25">
      <c r="A14" s="1"/>
      <c r="B14" s="73" t="s">
        <v>41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40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43</v>
      </c>
      <c r="C16" s="74"/>
      <c r="D16" s="75"/>
      <c r="E16" s="9">
        <v>0</v>
      </c>
      <c r="F16" s="8" t="s">
        <v>3</v>
      </c>
      <c r="G16" s="1"/>
    </row>
    <row r="17" spans="1:7" x14ac:dyDescent="0.25">
      <c r="A17" s="1"/>
      <c r="B17" s="73" t="s">
        <v>42</v>
      </c>
      <c r="C17" s="74"/>
      <c r="D17" s="75"/>
      <c r="E17" s="9">
        <v>0</v>
      </c>
      <c r="F17" s="8" t="s">
        <v>3</v>
      </c>
      <c r="G17" s="1"/>
    </row>
    <row r="18" spans="1:7" x14ac:dyDescent="0.25">
      <c r="A18" s="1"/>
      <c r="B18" s="73" t="s">
        <v>26</v>
      </c>
      <c r="C18" s="74"/>
      <c r="D18" s="75"/>
      <c r="E18" s="9">
        <f>SUM(E9:E17)*'Fane 14. Nøgletal'!C11</f>
        <v>5162457.0367748896</v>
      </c>
      <c r="F18" s="8" t="s">
        <v>3</v>
      </c>
      <c r="G18" s="1"/>
    </row>
    <row r="19" spans="1:7" x14ac:dyDescent="0.25">
      <c r="A19" s="1"/>
      <c r="B19" s="73" t="s">
        <v>10</v>
      </c>
      <c r="C19" s="74"/>
      <c r="D19" s="75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3" t="s">
        <v>38</v>
      </c>
      <c r="C20" s="74"/>
      <c r="D20" s="75"/>
      <c r="E20" s="9">
        <f>-'Fane 4.1. Gen. krav - drift'!G20</f>
        <v>-3850023.4548542383</v>
      </c>
      <c r="F20" s="8" t="s">
        <v>3</v>
      </c>
      <c r="G20" s="1"/>
    </row>
    <row r="21" spans="1:7" x14ac:dyDescent="0.25">
      <c r="A21" s="1"/>
      <c r="B21" s="73" t="s">
        <v>39</v>
      </c>
      <c r="C21" s="74"/>
      <c r="D21" s="75"/>
      <c r="E21" s="9">
        <f>-'Fane 4.2. Gen. krav - anlæg'!G19</f>
        <v>-1032970.7642724068</v>
      </c>
      <c r="F21" s="8" t="s">
        <v>3</v>
      </c>
      <c r="G21" s="1"/>
    </row>
    <row r="22" spans="1:7" x14ac:dyDescent="0.25">
      <c r="A22" s="1"/>
      <c r="B22" s="88" t="s">
        <v>28</v>
      </c>
      <c r="C22" s="89"/>
      <c r="D22" s="90"/>
      <c r="E22" s="10">
        <f>SUM(E9:E21)</f>
        <v>305750293.39604408</v>
      </c>
      <c r="F22" s="11" t="s">
        <v>3</v>
      </c>
      <c r="G22" s="1"/>
    </row>
    <row r="23" spans="1:7" x14ac:dyDescent="0.25">
      <c r="A23" s="1"/>
      <c r="B23" s="76" t="s">
        <v>17</v>
      </c>
      <c r="C23" s="77"/>
      <c r="D23" s="77"/>
      <c r="E23" s="45"/>
      <c r="F23" s="22"/>
      <c r="G23" s="1"/>
    </row>
    <row r="24" spans="1:7" x14ac:dyDescent="0.25">
      <c r="A24" s="1"/>
      <c r="B24" s="78" t="s">
        <v>17</v>
      </c>
      <c r="C24" s="79"/>
      <c r="D24" s="80"/>
      <c r="E24" s="10">
        <v>248454029.98719102</v>
      </c>
      <c r="F24" s="11" t="s">
        <v>3</v>
      </c>
      <c r="G24" s="1"/>
    </row>
    <row r="25" spans="1:7" x14ac:dyDescent="0.25">
      <c r="A25" s="1"/>
      <c r="B25" s="44" t="s">
        <v>131</v>
      </c>
      <c r="C25" s="45"/>
      <c r="D25" s="45"/>
      <c r="E25" s="45"/>
      <c r="F25" s="22"/>
      <c r="G25" s="1"/>
    </row>
    <row r="26" spans="1:7" ht="27" customHeight="1" x14ac:dyDescent="0.25">
      <c r="A26" s="1"/>
      <c r="B26" s="91" t="s">
        <v>133</v>
      </c>
      <c r="C26" s="92"/>
      <c r="D26" s="93"/>
      <c r="E26" s="10">
        <v>1218523.6240003284</v>
      </c>
      <c r="F26" s="11" t="s">
        <v>3</v>
      </c>
      <c r="G26" s="1"/>
    </row>
    <row r="27" spans="1:7" x14ac:dyDescent="0.25">
      <c r="A27" s="1"/>
      <c r="B27" s="44" t="s">
        <v>11</v>
      </c>
      <c r="C27" s="45"/>
      <c r="D27" s="45"/>
      <c r="E27" s="45"/>
      <c r="F27" s="22"/>
      <c r="G27" s="1"/>
    </row>
    <row r="28" spans="1:7" x14ac:dyDescent="0.25">
      <c r="A28" s="1"/>
      <c r="B28" s="78" t="s">
        <v>19</v>
      </c>
      <c r="C28" s="79"/>
      <c r="D28" s="80"/>
      <c r="E28" s="10">
        <v>0</v>
      </c>
      <c r="F28" s="11" t="s">
        <v>3</v>
      </c>
      <c r="G28" s="1"/>
    </row>
    <row r="29" spans="1:7" x14ac:dyDescent="0.25">
      <c r="A29" s="1"/>
      <c r="B29" s="44" t="s">
        <v>160</v>
      </c>
      <c r="C29" s="45"/>
      <c r="D29" s="45"/>
      <c r="E29" s="45"/>
      <c r="F29" s="22"/>
      <c r="G29" s="1"/>
    </row>
    <row r="30" spans="1:7" x14ac:dyDescent="0.25">
      <c r="A30" s="1"/>
      <c r="B30" s="78" t="s">
        <v>132</v>
      </c>
      <c r="C30" s="79"/>
      <c r="D30" s="80"/>
      <c r="E30" s="10">
        <v>-22663838.80904362</v>
      </c>
      <c r="F30" s="11" t="s">
        <v>3</v>
      </c>
      <c r="G30" s="1"/>
    </row>
    <row r="31" spans="1:7" x14ac:dyDescent="0.25">
      <c r="A31" s="1"/>
      <c r="B31" s="44" t="s">
        <v>23</v>
      </c>
      <c r="C31" s="45"/>
      <c r="D31" s="45"/>
      <c r="E31" s="12">
        <f>SUM(E28,E26,E24,E22,E30)</f>
        <v>532759008.19819176</v>
      </c>
      <c r="F31" s="13" t="s">
        <v>3</v>
      </c>
      <c r="G31" s="1"/>
    </row>
    <row r="32" spans="1:7" ht="28.15" customHeight="1" x14ac:dyDescent="0.25">
      <c r="A32" s="1"/>
      <c r="B32" s="85" t="s">
        <v>187</v>
      </c>
      <c r="C32" s="86"/>
      <c r="D32" s="86"/>
      <c r="E32" s="86"/>
      <c r="F32" s="8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1paXu+E+FCo69tCDPyI0NwpgUFuAoL0IqsBuYIGHea0gC7IcGjyFsT1qGeH+TQyI+BDJwE1zk7Hd1hGZVC3xg==" saltValue="R1FzhZgbXymOE8ApHvBg7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1" t="s">
        <v>198</v>
      </c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94" t="s">
        <v>97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86</v>
      </c>
      <c r="C6" s="98"/>
      <c r="D6" s="98"/>
      <c r="E6" s="98"/>
      <c r="F6" s="99"/>
      <c r="G6" s="26">
        <v>195034903.28610891</v>
      </c>
      <c r="H6" s="14" t="s">
        <v>3</v>
      </c>
      <c r="I6" s="1"/>
    </row>
    <row r="7" spans="1:9" x14ac:dyDescent="0.25">
      <c r="A7" s="1"/>
      <c r="B7" s="97" t="s">
        <v>87</v>
      </c>
      <c r="C7" s="98"/>
      <c r="D7" s="98"/>
      <c r="E7" s="98"/>
      <c r="F7" s="99"/>
      <c r="G7" s="26">
        <f>G6*'Fane 14. Nøgletal'!C25</f>
        <v>3900698.0657221782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98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88</v>
      </c>
      <c r="C11" s="98"/>
      <c r="D11" s="98"/>
      <c r="E11" s="98"/>
      <c r="F11" s="99"/>
      <c r="G11" s="26">
        <f>(G6-G7)*(1+'Fane 14. Nøgletal'!C9)</f>
        <v>193561609.62668565</v>
      </c>
      <c r="H11" s="14" t="s">
        <v>3</v>
      </c>
      <c r="I11" s="1"/>
    </row>
    <row r="12" spans="1:9" x14ac:dyDescent="0.25">
      <c r="A12" s="1"/>
      <c r="B12" s="100" t="s">
        <v>89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90</v>
      </c>
      <c r="C13" s="98"/>
      <c r="D13" s="98"/>
      <c r="E13" s="98"/>
      <c r="F13" s="99"/>
      <c r="G13" s="26">
        <f>(G11+G12)*'Fane 14. Nøgletal'!C25</f>
        <v>3871232.1925337128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99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91</v>
      </c>
      <c r="C17" s="98"/>
      <c r="D17" s="98"/>
      <c r="E17" s="98"/>
      <c r="F17" s="99"/>
      <c r="G17" s="26">
        <f>(G11+G12-G13)*(1+'Fane 14. Nøgletal'!C11)</f>
        <v>192896144.81278911</v>
      </c>
      <c r="H17" s="14" t="s">
        <v>3</v>
      </c>
      <c r="I17" s="1"/>
    </row>
    <row r="18" spans="1:9" x14ac:dyDescent="0.25">
      <c r="A18" s="1"/>
      <c r="B18" s="97" t="s">
        <v>225</v>
      </c>
      <c r="C18" s="98"/>
      <c r="D18" s="98"/>
      <c r="E18" s="98"/>
      <c r="F18" s="99"/>
      <c r="G18" s="26">
        <v>-394972.07007721695</v>
      </c>
      <c r="H18" s="14" t="s">
        <v>3</v>
      </c>
      <c r="I18" s="1"/>
    </row>
    <row r="19" spans="1:9" x14ac:dyDescent="0.25">
      <c r="A19" s="1"/>
      <c r="B19" s="100" t="s">
        <v>92</v>
      </c>
      <c r="C19" s="101"/>
      <c r="D19" s="101"/>
      <c r="E19" s="101"/>
      <c r="F19" s="102"/>
      <c r="G19" s="26">
        <v>0</v>
      </c>
      <c r="H19" s="14" t="s">
        <v>3</v>
      </c>
      <c r="I19" s="1"/>
    </row>
    <row r="20" spans="1:9" x14ac:dyDescent="0.25">
      <c r="A20" s="1"/>
      <c r="B20" s="97" t="s">
        <v>93</v>
      </c>
      <c r="C20" s="98"/>
      <c r="D20" s="98"/>
      <c r="E20" s="98"/>
      <c r="F20" s="99"/>
      <c r="G20" s="26">
        <f>SUM(G17:G19)*'Fane 14. Nøgletal'!C25</f>
        <v>3850023.4548542383</v>
      </c>
      <c r="H20" s="14" t="s">
        <v>3</v>
      </c>
      <c r="I20" s="1"/>
    </row>
    <row r="21" spans="1:9" x14ac:dyDescent="0.25">
      <c r="A21" s="1"/>
      <c r="B21" s="44"/>
      <c r="C21" s="45"/>
      <c r="D21" s="45"/>
      <c r="E21" s="45"/>
      <c r="F21" s="45"/>
      <c r="G21" s="45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4" t="s">
        <v>100</v>
      </c>
      <c r="C23" s="95"/>
      <c r="D23" s="95"/>
      <c r="E23" s="95"/>
      <c r="F23" s="95"/>
      <c r="G23" s="95"/>
      <c r="H23" s="96"/>
      <c r="I23" s="1"/>
    </row>
    <row r="24" spans="1:9" x14ac:dyDescent="0.25">
      <c r="A24" s="1"/>
      <c r="B24" s="97" t="s">
        <v>94</v>
      </c>
      <c r="C24" s="98"/>
      <c r="D24" s="98"/>
      <c r="E24" s="98"/>
      <c r="F24" s="99"/>
      <c r="G24" s="26">
        <f>(G17+G18+G19-G20)*(1+'Fane 14. Nøgletal'!C11)</f>
        <v>191839353.71082243</v>
      </c>
      <c r="H24" s="14" t="s">
        <v>3</v>
      </c>
      <c r="I24" s="1"/>
    </row>
    <row r="25" spans="1:9" x14ac:dyDescent="0.25">
      <c r="A25" s="1"/>
      <c r="B25" s="100" t="s">
        <v>95</v>
      </c>
      <c r="C25" s="101"/>
      <c r="D25" s="101"/>
      <c r="E25" s="101"/>
      <c r="F25" s="102"/>
      <c r="G25" s="26">
        <f>('Fane 2.1. Økonomisk ramme 2020'!C10+'Fane 2.1. Økonomisk ramme 2020'!C12+'Fane 2.1. Økonomisk ramme 2020'!C14)*(1+'Fane 14. Nøgletal'!C12)</f>
        <v>2629301.7453021002</v>
      </c>
      <c r="H25" s="14" t="s">
        <v>3</v>
      </c>
      <c r="I25" s="1"/>
    </row>
    <row r="26" spans="1:9" x14ac:dyDescent="0.25">
      <c r="A26" s="1"/>
      <c r="B26" s="97" t="s">
        <v>96</v>
      </c>
      <c r="C26" s="98"/>
      <c r="D26" s="98"/>
      <c r="E26" s="98"/>
      <c r="F26" s="99"/>
      <c r="G26" s="26">
        <f>(G24+G25)*'Fane 14. Nøgletal'!C25</f>
        <v>3889373.109122491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4" t="s">
        <v>103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97" t="s">
        <v>104</v>
      </c>
      <c r="C30" s="98"/>
      <c r="D30" s="98"/>
      <c r="E30" s="98"/>
      <c r="F30" s="99"/>
      <c r="G30" s="26">
        <f>G24*(1-'Fane 14. Nøgletal'!C25)*(1+'Fane 14. Nøgletal'!C11)+G25*(1-'Fane 14. Nøgletal'!C25)*(1+'Fane 14. Nøgletal'!C12)</f>
        <v>193807287.02265546</v>
      </c>
      <c r="H30" s="14" t="s">
        <v>3</v>
      </c>
      <c r="I30" s="1"/>
    </row>
    <row r="31" spans="1:9" x14ac:dyDescent="0.25">
      <c r="A31" s="1"/>
      <c r="B31" s="103" t="s">
        <v>218</v>
      </c>
      <c r="C31" s="104"/>
      <c r="D31" s="104"/>
      <c r="E31" s="104"/>
      <c r="F31" s="105"/>
      <c r="G31" s="26">
        <f>G25*(1-'Fane 14. Nøgletal'!C25)*(1+'Fane 14. Nøgletal'!C12)</f>
        <v>2627477.0098908604</v>
      </c>
      <c r="H31" s="14" t="s">
        <v>3</v>
      </c>
      <c r="I31" s="1"/>
    </row>
    <row r="32" spans="1:9" x14ac:dyDescent="0.25">
      <c r="A32" s="1"/>
      <c r="B32" s="97" t="s">
        <v>145</v>
      </c>
      <c r="C32" s="98"/>
      <c r="D32" s="98"/>
      <c r="E32" s="98"/>
      <c r="F32" s="99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7" t="s">
        <v>105</v>
      </c>
      <c r="C33" s="98"/>
      <c r="D33" s="98"/>
      <c r="E33" s="98"/>
      <c r="F33" s="99"/>
      <c r="G33" s="26">
        <f>(G30+G32)*'Fane 14. Nøgletal'!C25</f>
        <v>3876145.7404531091</v>
      </c>
      <c r="H33" s="14" t="s">
        <v>3</v>
      </c>
      <c r="I33" s="1"/>
    </row>
    <row r="34" spans="1:9" x14ac:dyDescent="0.25">
      <c r="A34" s="1"/>
      <c r="B34" s="44"/>
      <c r="C34" s="45"/>
      <c r="D34" s="45"/>
      <c r="E34" s="45"/>
      <c r="F34" s="45"/>
      <c r="G34" s="45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193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97" t="s">
        <v>128</v>
      </c>
      <c r="C37" s="98"/>
      <c r="D37" s="98"/>
      <c r="E37" s="98"/>
      <c r="F37" s="99"/>
      <c r="G37" s="26">
        <f>(G30-G31)*(1-'Fane 14. Nøgletal'!C25)*(1+'Fane 14. Nøgletal'!C11)+(G31+G32)*(1-'Fane 14. Nøgletal'!C25)*(1+'Fane 14. Nøgletal'!C12)</f>
        <v>193148187.36678669</v>
      </c>
      <c r="H37" s="14" t="s">
        <v>3</v>
      </c>
      <c r="I37" s="1"/>
    </row>
    <row r="38" spans="1:9" x14ac:dyDescent="0.25">
      <c r="A38" s="1"/>
      <c r="B38" s="103" t="s">
        <v>218</v>
      </c>
      <c r="C38" s="104"/>
      <c r="D38" s="104"/>
      <c r="E38" s="104"/>
      <c r="F38" s="105"/>
      <c r="G38" s="26">
        <f>G31*(1-'Fane 14. Nøgletal'!C25)*(1+'Fane 14. Nøgletal'!C12)</f>
        <v>2625653.5408459962</v>
      </c>
      <c r="H38" s="14" t="s">
        <v>3</v>
      </c>
      <c r="I38" s="1"/>
    </row>
    <row r="39" spans="1:9" x14ac:dyDescent="0.25">
      <c r="A39" s="1"/>
      <c r="B39" s="103" t="s">
        <v>219</v>
      </c>
      <c r="C39" s="98"/>
      <c r="D39" s="98"/>
      <c r="E39" s="98"/>
      <c r="F39" s="99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7" t="s">
        <v>146</v>
      </c>
      <c r="C40" s="98"/>
      <c r="D40" s="98"/>
      <c r="E40" s="98"/>
      <c r="F40" s="99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7" t="s">
        <v>220</v>
      </c>
      <c r="C41" s="98"/>
      <c r="D41" s="98"/>
      <c r="E41" s="98"/>
      <c r="F41" s="99"/>
      <c r="G41" s="26">
        <f>(G37+G40)*'Fane 14. Nøgletal'!C25</f>
        <v>3862963.7473357338</v>
      </c>
      <c r="H41" s="14" t="s">
        <v>3</v>
      </c>
      <c r="I41" s="1"/>
    </row>
    <row r="42" spans="1:9" x14ac:dyDescent="0.25">
      <c r="A42" s="1"/>
      <c r="B42" s="44"/>
      <c r="C42" s="45"/>
      <c r="D42" s="45"/>
      <c r="E42" s="45"/>
      <c r="F42" s="45"/>
      <c r="G42" s="45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4" t="s">
        <v>129</v>
      </c>
      <c r="C44" s="95"/>
      <c r="D44" s="95"/>
      <c r="E44" s="95"/>
      <c r="F44" s="95"/>
      <c r="G44" s="95"/>
      <c r="H44" s="96"/>
      <c r="I44" s="1"/>
    </row>
    <row r="45" spans="1:9" x14ac:dyDescent="0.25">
      <c r="A45" s="1"/>
      <c r="B45" s="97" t="s">
        <v>127</v>
      </c>
      <c r="C45" s="98"/>
      <c r="D45" s="98"/>
      <c r="E45" s="98"/>
      <c r="F45" s="99"/>
      <c r="G45" s="26">
        <f>(G37-G41)*(1+'Fane 14. Nøgletal'!C12)</f>
        <v>193014142.52475414</v>
      </c>
      <c r="H45" s="14" t="s">
        <v>3</v>
      </c>
      <c r="I45" s="1"/>
    </row>
    <row r="46" spans="1:9" x14ac:dyDescent="0.25">
      <c r="A46" s="1"/>
      <c r="B46" s="97" t="s">
        <v>147</v>
      </c>
      <c r="C46" s="98"/>
      <c r="D46" s="98"/>
      <c r="E46" s="98"/>
      <c r="F46" s="99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7" t="s">
        <v>106</v>
      </c>
      <c r="C47" s="98"/>
      <c r="D47" s="98"/>
      <c r="E47" s="98"/>
      <c r="F47" s="99"/>
      <c r="G47" s="26">
        <f>(G45+G46)*'Fane 14. Nøgletal'!C25</f>
        <v>3860282.8504950828</v>
      </c>
      <c r="H47" s="14" t="s">
        <v>3</v>
      </c>
      <c r="I47" s="1"/>
    </row>
    <row r="48" spans="1:9" x14ac:dyDescent="0.25">
      <c r="A48" s="1"/>
      <c r="B48" s="44"/>
      <c r="C48" s="45"/>
      <c r="D48" s="45"/>
      <c r="E48" s="45"/>
      <c r="F48" s="45"/>
      <c r="G48" s="45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d9j3zg8nsV/KrFjno7+bLR40InpHj14dZEfNqhj0GsvoHVnC+OfSh5Bg9KZYCLGpPiI8a7jf24IWIV3mm8Lsw==" saltValue="OaRxlUFhZYj82mcjIx7fqw==" spinCount="100000" sheet="1" objects="1" scenarios="1"/>
  <mergeCells count="32">
    <mergeCell ref="B2:H4"/>
    <mergeCell ref="B5:H5"/>
    <mergeCell ref="B6:F6"/>
    <mergeCell ref="B7:F7"/>
    <mergeCell ref="B11:F11"/>
    <mergeCell ref="B10:H10"/>
    <mergeCell ref="B44:H44"/>
    <mergeCell ref="B45:F45"/>
    <mergeCell ref="B47:F47"/>
    <mergeCell ref="B40:F40"/>
    <mergeCell ref="B46:F46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199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4" t="s">
        <v>101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107</v>
      </c>
      <c r="C5" s="98"/>
      <c r="D5" s="98"/>
      <c r="E5" s="98"/>
      <c r="F5" s="99"/>
      <c r="G5" s="26">
        <v>115134297.26136479</v>
      </c>
      <c r="H5" s="14" t="s">
        <v>3</v>
      </c>
      <c r="I5" s="1"/>
    </row>
    <row r="6" spans="1:9" x14ac:dyDescent="0.25">
      <c r="A6" s="1"/>
      <c r="B6" s="97" t="s">
        <v>102</v>
      </c>
      <c r="C6" s="98"/>
      <c r="D6" s="98"/>
      <c r="E6" s="98"/>
      <c r="F6" s="99"/>
      <c r="G6" s="26">
        <f>G5*'Fane 14. Nøgletal'!C17</f>
        <v>1047722.1050784197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108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109</v>
      </c>
      <c r="C10" s="98"/>
      <c r="D10" s="98"/>
      <c r="E10" s="98"/>
      <c r="F10" s="99"/>
      <c r="G10" s="26">
        <f>(G5-G6)*(1+'Fane 14. Nøgletal'!C9)</f>
        <v>115535474.66077121</v>
      </c>
      <c r="H10" s="14" t="s">
        <v>3</v>
      </c>
      <c r="I10" s="1"/>
    </row>
    <row r="11" spans="1:9" x14ac:dyDescent="0.25">
      <c r="A11" s="1"/>
      <c r="B11" s="100" t="s">
        <v>110</v>
      </c>
      <c r="C11" s="101"/>
      <c r="D11" s="101"/>
      <c r="E11" s="101"/>
      <c r="F11" s="102"/>
      <c r="G11" s="26">
        <v>0</v>
      </c>
      <c r="H11" s="14" t="s">
        <v>3</v>
      </c>
      <c r="I11" s="1"/>
    </row>
    <row r="12" spans="1:9" x14ac:dyDescent="0.25">
      <c r="A12" s="1"/>
      <c r="B12" s="97" t="s">
        <v>111</v>
      </c>
      <c r="C12" s="98"/>
      <c r="D12" s="98"/>
      <c r="E12" s="98"/>
      <c r="F12" s="99"/>
      <c r="G12" s="26">
        <f>G10*'Fane 14. Nøgletal'!C17+G11*'Fane 14. Nøgletal'!C18</f>
        <v>1051372.8194130179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112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113</v>
      </c>
      <c r="C16" s="98"/>
      <c r="D16" s="98"/>
      <c r="E16" s="98"/>
      <c r="F16" s="99"/>
      <c r="G16" s="26">
        <f>(G10+G11-G12)*(1+'Fane 14. Nøgletal'!C11)</f>
        <v>116418883.16247714</v>
      </c>
      <c r="H16" s="14" t="s">
        <v>3</v>
      </c>
      <c r="I16" s="1"/>
    </row>
    <row r="17" spans="1:9" x14ac:dyDescent="0.25">
      <c r="A17" s="1"/>
      <c r="B17" s="97" t="s">
        <v>226</v>
      </c>
      <c r="C17" s="98"/>
      <c r="D17" s="98"/>
      <c r="E17" s="98"/>
      <c r="F17" s="99"/>
      <c r="G17" s="26">
        <v>-1909238.9844120771</v>
      </c>
      <c r="H17" s="14" t="s">
        <v>3</v>
      </c>
      <c r="I17" s="1"/>
    </row>
    <row r="18" spans="1:9" x14ac:dyDescent="0.25">
      <c r="A18" s="1"/>
      <c r="B18" s="100" t="s">
        <v>114</v>
      </c>
      <c r="C18" s="101"/>
      <c r="D18" s="101"/>
      <c r="E18" s="101"/>
      <c r="F18" s="102"/>
      <c r="G18" s="26">
        <v>4222627.577384009</v>
      </c>
      <c r="H18" s="14" t="s">
        <v>3</v>
      </c>
      <c r="I18" s="1"/>
    </row>
    <row r="19" spans="1:9" x14ac:dyDescent="0.25">
      <c r="A19" s="1"/>
      <c r="B19" s="97" t="s">
        <v>115</v>
      </c>
      <c r="C19" s="98"/>
      <c r="D19" s="98"/>
      <c r="E19" s="98"/>
      <c r="F19" s="99"/>
      <c r="G19" s="26">
        <f>SUM(G16:G18)*'Fane 14. Nøgletal'!C19</f>
        <v>1032970.7642724068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116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117</v>
      </c>
      <c r="C23" s="98"/>
      <c r="D23" s="98"/>
      <c r="E23" s="98"/>
      <c r="F23" s="99"/>
      <c r="G23" s="26">
        <f>(G16+G17+G18-G19)*(1+'Fane 14. Nøgletal'!C11)</f>
        <v>119688419.17792754</v>
      </c>
      <c r="H23" s="14" t="s">
        <v>3</v>
      </c>
      <c r="I23" s="1"/>
    </row>
    <row r="24" spans="1:9" x14ac:dyDescent="0.25">
      <c r="A24" s="1"/>
      <c r="B24" s="100" t="s">
        <v>118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14. Nøgletal'!C12)</f>
        <v>1943910.5568089131</v>
      </c>
      <c r="H24" s="14" t="s">
        <v>3</v>
      </c>
      <c r="I24" s="1"/>
    </row>
    <row r="25" spans="1:9" x14ac:dyDescent="0.25">
      <c r="A25" s="1"/>
      <c r="B25" s="97" t="s">
        <v>119</v>
      </c>
      <c r="C25" s="98"/>
      <c r="D25" s="98"/>
      <c r="E25" s="98"/>
      <c r="F25" s="99"/>
      <c r="G25" s="26">
        <f>G23*'Fane 14. Nøgletal'!C19+G24*'Fane 14. Nøgletal'!C20</f>
        <v>1096496.3066613425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121</v>
      </c>
      <c r="C29" s="98"/>
      <c r="D29" s="98"/>
      <c r="E29" s="98"/>
      <c r="F29" s="99"/>
      <c r="G29" s="26">
        <f>G23*(1-'Fane 14. Nøgletal'!C19)*(1+'Fane 14. Nøgletal'!C11)+G24*(1-'Fane 14. Nøgletal'!C20)*(1+'Fane 14. Nøgletal'!C12)</f>
        <v>122578177.38280115</v>
      </c>
      <c r="H29" s="14" t="s">
        <v>3</v>
      </c>
      <c r="I29" s="1"/>
    </row>
    <row r="30" spans="1:9" x14ac:dyDescent="0.25">
      <c r="A30" s="1"/>
      <c r="B30" s="103" t="s">
        <v>221</v>
      </c>
      <c r="C30" s="104"/>
      <c r="D30" s="104"/>
      <c r="E30" s="104"/>
      <c r="F30" s="105"/>
      <c r="G30" s="26">
        <f>G24*(1-'Fane 14. Nøgletal'!C20)*(1+'Fane 14. Nøgletal'!C12)</f>
        <v>1925910.9558863523</v>
      </c>
      <c r="H30" s="14" t="s">
        <v>3</v>
      </c>
      <c r="I30" s="1"/>
    </row>
    <row r="31" spans="1:9" x14ac:dyDescent="0.25">
      <c r="A31" s="1"/>
      <c r="B31" s="97" t="s">
        <v>151</v>
      </c>
      <c r="C31" s="98"/>
      <c r="D31" s="98"/>
      <c r="E31" s="98"/>
      <c r="F31" s="99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7" t="s">
        <v>122</v>
      </c>
      <c r="C32" s="98"/>
      <c r="D32" s="98"/>
      <c r="E32" s="98"/>
      <c r="F32" s="99"/>
      <c r="G32" s="26">
        <f>(G29-G30)*'Fane 14. Nøgletal'!C19+(G30+G31)*'Fane 14. Nøgletal'!C20</f>
        <v>1104370.589061331</v>
      </c>
      <c r="H32" s="14" t="s">
        <v>3</v>
      </c>
      <c r="I32" s="1"/>
    </row>
    <row r="33" spans="1:9" x14ac:dyDescent="0.25">
      <c r="A33" s="1"/>
      <c r="B33" s="44"/>
      <c r="C33" s="45"/>
      <c r="D33" s="45"/>
      <c r="E33" s="45"/>
      <c r="F33" s="45"/>
      <c r="G33" s="45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4" t="s">
        <v>192</v>
      </c>
      <c r="C35" s="95"/>
      <c r="D35" s="95"/>
      <c r="E35" s="95"/>
      <c r="F35" s="95"/>
      <c r="G35" s="95"/>
      <c r="H35" s="96"/>
      <c r="I35" s="1"/>
    </row>
    <row r="36" spans="1:9" x14ac:dyDescent="0.25">
      <c r="A36" s="1"/>
      <c r="B36" s="97" t="s">
        <v>126</v>
      </c>
      <c r="C36" s="98"/>
      <c r="D36" s="98"/>
      <c r="E36" s="98"/>
      <c r="F36" s="99"/>
      <c r="G36" s="26">
        <f>(G29-G30)*(1-'Fane 14. Nøgletal'!C19)*(1+'Fane 14. Nøgletal'!C11)+(G30+G31)*(1-'Fane 14. Nøgletal'!C20)*(1+'Fane 14. Nøgletal'!C12)</f>
        <v>123531953.53079127</v>
      </c>
      <c r="H36" s="14" t="s">
        <v>3</v>
      </c>
      <c r="I36" s="1"/>
    </row>
    <row r="37" spans="1:9" x14ac:dyDescent="0.25">
      <c r="A37" s="1"/>
      <c r="B37" s="103" t="s">
        <v>221</v>
      </c>
      <c r="C37" s="104"/>
      <c r="D37" s="104"/>
      <c r="E37" s="104"/>
      <c r="F37" s="105"/>
      <c r="G37" s="26">
        <f>G30*(1-'Fane 14. Nøgletal'!C20)*(1+'Fane 14. Nøgletal'!C12)</f>
        <v>1908078.0219085419</v>
      </c>
      <c r="H37" s="14" t="s">
        <v>3</v>
      </c>
      <c r="I37" s="1"/>
    </row>
    <row r="38" spans="1:9" x14ac:dyDescent="0.25">
      <c r="A38" s="1"/>
      <c r="B38" s="103" t="s">
        <v>222</v>
      </c>
      <c r="C38" s="104"/>
      <c r="D38" s="104"/>
      <c r="E38" s="104"/>
      <c r="F38" s="105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7" t="s">
        <v>152</v>
      </c>
      <c r="C39" s="98"/>
      <c r="D39" s="98"/>
      <c r="E39" s="98"/>
      <c r="F39" s="99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7" t="s">
        <v>123</v>
      </c>
      <c r="C40" s="98"/>
      <c r="D40" s="98"/>
      <c r="E40" s="98"/>
      <c r="F40" s="99"/>
      <c r="G40" s="26">
        <f>(G36-SUM(G37:G38))*'Fane 14. Nøgletal'!C19+SUM(G37:G38)*'Fane 14. Nøgletal'!C20</f>
        <v>1112317.1327494823</v>
      </c>
      <c r="H40" s="14" t="s">
        <v>3</v>
      </c>
      <c r="I40" s="1"/>
    </row>
    <row r="41" spans="1:9" x14ac:dyDescent="0.25">
      <c r="A41" s="1"/>
      <c r="B41" s="44"/>
      <c r="C41" s="45"/>
      <c r="D41" s="45"/>
      <c r="E41" s="45"/>
      <c r="F41" s="45"/>
      <c r="G41" s="45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130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(G36-G40)*(1+'Fane 14. Nøgletal'!C12)</f>
        <v>124831303.23508321</v>
      </c>
      <c r="H44" s="14" t="s">
        <v>3</v>
      </c>
      <c r="I44" s="1"/>
    </row>
    <row r="45" spans="1:9" x14ac:dyDescent="0.25">
      <c r="A45" s="1"/>
      <c r="B45" s="97" t="s">
        <v>153</v>
      </c>
      <c r="C45" s="98"/>
      <c r="D45" s="98"/>
      <c r="E45" s="98"/>
      <c r="F45" s="99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7" t="s">
        <v>124</v>
      </c>
      <c r="C46" s="98"/>
      <c r="D46" s="98"/>
      <c r="E46" s="98"/>
      <c r="F46" s="99"/>
      <c r="G46" s="26">
        <f>(G44+G45)*'Fane 14. Nøgletal'!C20</f>
        <v>3545209.0118763633</v>
      </c>
      <c r="H46" s="14" t="s">
        <v>3</v>
      </c>
      <c r="I46" s="1"/>
    </row>
    <row r="47" spans="1:9" x14ac:dyDescent="0.25">
      <c r="A47" s="1"/>
      <c r="B47" s="44"/>
      <c r="C47" s="45"/>
      <c r="D47" s="45"/>
      <c r="E47" s="45"/>
      <c r="F47" s="45"/>
      <c r="G47" s="45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33tqOBxvQJhAdqFmxC3qojvar1+jFHrq6LPMFi55AhRqXn4d9YzaKomeW8KwkjsR2sQeWP7hNk/fYDMj+G0NA==" saltValue="2e49pb8CclykV9CsJVN72g==" spinCount="100000" sheet="1" objects="1" scenarios="1"/>
  <mergeCells count="32"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144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177</v>
      </c>
      <c r="C9" s="98"/>
      <c r="D9" s="98"/>
      <c r="E9" s="98"/>
      <c r="F9" s="99"/>
      <c r="G9" s="25">
        <v>1.0052033813254813E-3</v>
      </c>
      <c r="H9" s="14"/>
      <c r="I9" s="1"/>
    </row>
    <row r="10" spans="1:9" x14ac:dyDescent="0.25">
      <c r="A10" s="1"/>
      <c r="B10" s="97" t="s">
        <v>191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XkF11PfT2EiPUZOvXOuaJXV7Q9V6EWQ9Nqw/7TAwPt+TXMMQNtCwSUbvfT27mFyMk5b2VkgFoebBtSFqwTlgA==" saltValue="wQbC9PQrJIeNo2avPtX8s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2019-09-12T11:37:55Z</dcterms:modified>
</cp:coreProperties>
</file>