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adsund Vandværk a.m.b.a. (V073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31" i="2" l="1"/>
  <c r="E30" i="2"/>
  <c r="E9" i="40" l="1"/>
  <c r="E11" i="2" l="1"/>
  <c r="E10" i="2"/>
  <c r="E10" i="40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<sst xmlns="http://schemas.openxmlformats.org/spreadsheetml/2006/main" count="426" uniqueCount="166">
  <si>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</si>
  <si>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</si>
  <si>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</si>
  <si>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</si>
  <si>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</si>
  <si>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</si>
  <si>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</si>
  <si>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</si>
  <si>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</si>
  <si>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</si>
  <si>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</si>
  <si>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</si>
  <si>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</si>
  <si>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</si>
  <si>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</si>
  <si>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</si>
  <si>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</si>
  <si>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</si>
  <si>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</si>
  <si>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</si>
  <si>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</si>
  <si>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</si>
  <si>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</si>
  <si>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</si>
  <si>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</si>
  <si>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</si>
  <si>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</si>
  <si>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</si>
  <si>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</si>
  <si>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</si>
  <si>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</si>
  <si>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</si>
  <si>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</si>
  <si>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</si>
  <si>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</si>
  <si>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</si>
  <si>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</si>
  <si>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</si>
  <si>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</si>
  <si>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</si>
  <si>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</si>
  <si>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</si>
  <si>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</si>
  <si>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</si>
  <si>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</si>
  <si>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</si>
  <si>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</si>
  <si>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</si>
  <si>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</si>
  <si>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</si>
  <si>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</si>
  <si>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</si>
  <si>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</si>
  <si>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</si>
  <si>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</si>
  <si>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</si>
  <si>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</si>
  <si>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</si>
  <si>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</si>
  <si>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</si>
  <si>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</si>
  <si>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</si>
  <si>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</si>
  <si>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</si>
  <si>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</si>
  <si>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</si>
  <si>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</si>
  <si>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</si>
  <si>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</si>
  <si>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</si>
  <si>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</si>
  <si>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</si>
  <si>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</si>
  <si>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</si>
  <si>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</si>
  <si>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</si>
  <si>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</si>
  <si>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</si>
  <si>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</si>
  <si>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</si>
  <si>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</si>
  <si>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</si>
  <si>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</si>
  <si>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</si>
  <si>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</si>
  <si>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</si>
  <si>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</si>
  <si>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</si>
  <si>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</si>
  <si>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</si>
  <si>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</si>
  <si>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</si>
  <si>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</si>
  <si>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</si>
  <si>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</si>
  <si>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</si>
  <si>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</si>
  <si>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</si>
  <si>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</si>
  <si>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</si>
  <si>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</si>
  <si>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</si>
  <si>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</si>
  <si>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</si>
  <si>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</si>
  <si>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</si>
  <si>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</si>
  <si>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</si>
  <si>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</si>
  <si>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</si>
  <si>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</si>
  <si>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</si>
  <si>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</si>
  <si>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</si>
  <si>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</si>
  <si>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</si>
  <si>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</si>
  <si>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</si>
  <si>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</si>
  <si>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</si>
  <si>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</si>
  <si>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</si>
  <si>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</si>
  <si>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</si>
  <si>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</si>
  <si>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</si>
  <si>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</si>
  <si>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</si>
  <si>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</si>
  <si>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</si>
  <si>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</si>
  <si>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</si>
  <si>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</si>
  <si>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</si>
  <si>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</si>
  <si>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</si>
  <si>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</si>
  <si>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</si>
  <si>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</si>
  <si>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</si>
  <si>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</si>
  <si>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</si>
  <si>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</si>
  <si>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</si>
  <si>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</si>
  <si>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</si>
  <si>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</si>
  <si>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</si>
  <si>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</si>
  <si>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Ingen engangstillæg</t>
  </si>
  <si>
    <t>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</si>
  <si>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</si>
  <si>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</si>
  <si>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</si>
  <si>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</si>
  <si>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</si>
  <si>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</si>
  <si>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</si>
  <si>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</si>
  <si>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</si>
  <si>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prislofterne for 2011-2015</t>
  </si>
  <si>
    <t>Korrektion af budgetterede omkostninger i prisloft 2011-2015</t>
  </si>
  <si>
    <t>Korrektion af prisudvikling, generelt og individuelt effektiviseringskrav i prisloft 2015</t>
  </si>
  <si>
    <t>Korrektion for overholdelse af indtægtsrammen i prisloft 2011-2015</t>
  </si>
  <si>
    <t>Korrektioner i alt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</si>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</sst>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8" borderId="2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5" t="s">
        <v>4</v>
      </c>
      <c r="E6" s="65"/>
      <c r="F6" s="65"/>
      <c r="G6" s="65"/>
      <c r="H6" s="3"/>
      <c r="I6" s="1"/>
    </row>
    <row r="7" spans="1:9" ht="15" customHeight="1" x14ac:dyDescent="0.25">
      <c r="A7" s="1"/>
      <c r="B7" s="1"/>
      <c r="C7" s="3"/>
      <c r="D7" s="65"/>
      <c r="E7" s="65"/>
      <c r="F7" s="65"/>
      <c r="G7" s="65"/>
      <c r="H7" s="3"/>
      <c r="I7" s="1"/>
    </row>
    <row r="8" spans="1:9" ht="15.75" x14ac:dyDescent="0.25">
      <c r="A8" s="1"/>
      <c r="B8" s="1"/>
      <c r="C8" s="4"/>
      <c r="D8" s="67" t="s">
        <v>116</v>
      </c>
      <c r="E8" s="67"/>
      <c r="F8" s="67"/>
      <c r="G8" s="6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6" t="s">
        <v>5</v>
      </c>
      <c r="E11" s="66"/>
      <c r="F11" s="66"/>
      <c r="G11" s="6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2" t="s">
        <v>49</v>
      </c>
      <c r="E13" s="63"/>
      <c r="F13" s="63"/>
      <c r="G13" s="64"/>
      <c r="H13" s="1"/>
      <c r="I13" s="1"/>
    </row>
    <row r="14" spans="1:9" x14ac:dyDescent="0.25">
      <c r="A14" s="1"/>
      <c r="B14" s="1"/>
      <c r="C14" s="6" t="s">
        <v>22</v>
      </c>
      <c r="D14" s="62" t="s">
        <v>117</v>
      </c>
      <c r="E14" s="63"/>
      <c r="F14" s="63"/>
      <c r="G14" s="64"/>
      <c r="H14" s="1"/>
      <c r="I14" s="1"/>
    </row>
    <row r="15" spans="1:9" x14ac:dyDescent="0.25">
      <c r="A15" s="1"/>
      <c r="B15" s="1"/>
      <c r="C15" s="6" t="s">
        <v>48</v>
      </c>
      <c r="D15" s="62" t="s">
        <v>75</v>
      </c>
      <c r="E15" s="63"/>
      <c r="F15" s="63"/>
      <c r="G15" s="64"/>
      <c r="H15" s="1"/>
      <c r="I15" s="1"/>
    </row>
    <row r="16" spans="1:9" x14ac:dyDescent="0.25">
      <c r="A16" s="1"/>
      <c r="B16" s="1"/>
      <c r="C16" s="6" t="s">
        <v>50</v>
      </c>
      <c r="D16" s="62" t="s">
        <v>76</v>
      </c>
      <c r="E16" s="63"/>
      <c r="F16" s="63"/>
      <c r="G16" s="64"/>
      <c r="H16" s="1"/>
      <c r="I16" s="1"/>
    </row>
    <row r="17" spans="1:9" x14ac:dyDescent="0.25">
      <c r="A17" s="1"/>
      <c r="B17" s="1"/>
      <c r="C17" s="6" t="s">
        <v>139</v>
      </c>
      <c r="D17" s="62" t="s">
        <v>57</v>
      </c>
      <c r="E17" s="63"/>
      <c r="F17" s="63"/>
      <c r="G17" s="64"/>
      <c r="H17" s="1"/>
      <c r="I17" s="1"/>
    </row>
    <row r="18" spans="1:9" x14ac:dyDescent="0.25">
      <c r="A18" s="1"/>
      <c r="B18" s="1"/>
      <c r="C18" s="6" t="s">
        <v>7</v>
      </c>
      <c r="D18" s="56" t="s">
        <v>16</v>
      </c>
      <c r="E18" s="57"/>
      <c r="F18" s="57"/>
      <c r="G18" s="58"/>
      <c r="H18" s="1"/>
      <c r="I18" s="1"/>
    </row>
    <row r="19" spans="1:9" x14ac:dyDescent="0.25">
      <c r="A19" s="1"/>
      <c r="B19" s="1"/>
      <c r="C19" s="6" t="s">
        <v>8</v>
      </c>
      <c r="D19" s="50" t="s">
        <v>97</v>
      </c>
      <c r="E19" s="51"/>
      <c r="F19" s="51"/>
      <c r="G19" s="52"/>
      <c r="H19" s="1"/>
      <c r="I19" s="1"/>
    </row>
    <row r="20" spans="1:9" x14ac:dyDescent="0.25">
      <c r="A20" s="1"/>
      <c r="B20" s="1"/>
      <c r="C20" s="6" t="s">
        <v>123</v>
      </c>
      <c r="D20" s="50" t="s">
        <v>150</v>
      </c>
      <c r="E20" s="51"/>
      <c r="F20" s="51"/>
      <c r="G20" s="52"/>
      <c r="H20" s="1"/>
      <c r="I20" s="1"/>
    </row>
    <row r="21" spans="1:9" x14ac:dyDescent="0.25">
      <c r="A21" s="1"/>
      <c r="B21" s="1"/>
      <c r="C21" s="6" t="s">
        <v>82</v>
      </c>
      <c r="D21" s="50" t="s">
        <v>51</v>
      </c>
      <c r="E21" s="51"/>
      <c r="F21" s="51"/>
      <c r="G21" s="52"/>
      <c r="H21" s="1"/>
      <c r="I21" s="1"/>
    </row>
    <row r="22" spans="1:9" x14ac:dyDescent="0.25">
      <c r="A22" s="1"/>
      <c r="B22" s="1"/>
      <c r="C22" s="6" t="s">
        <v>124</v>
      </c>
      <c r="D22" s="50" t="s">
        <v>83</v>
      </c>
      <c r="E22" s="51"/>
      <c r="F22" s="51"/>
      <c r="G22" s="52"/>
      <c r="H22" s="1"/>
      <c r="I22" s="1"/>
    </row>
    <row r="23" spans="1:9" x14ac:dyDescent="0.25">
      <c r="A23" s="1"/>
      <c r="B23" s="1"/>
      <c r="C23" s="6" t="s">
        <v>125</v>
      </c>
      <c r="D23" s="50" t="s">
        <v>84</v>
      </c>
      <c r="E23" s="51"/>
      <c r="F23" s="51"/>
      <c r="G23" s="52"/>
      <c r="H23" s="1"/>
      <c r="I23" s="1"/>
    </row>
    <row r="24" spans="1:9" x14ac:dyDescent="0.25">
      <c r="A24" s="1"/>
      <c r="B24" s="1"/>
      <c r="C24" s="6" t="s">
        <v>9</v>
      </c>
      <c r="D24" s="50" t="s">
        <v>52</v>
      </c>
      <c r="E24" s="51"/>
      <c r="F24" s="51"/>
      <c r="G24" s="52"/>
      <c r="H24" s="1"/>
      <c r="I24" s="1"/>
    </row>
    <row r="25" spans="1:9" x14ac:dyDescent="0.25">
      <c r="A25" s="1"/>
      <c r="B25" s="1"/>
      <c r="C25" s="6" t="s">
        <v>96</v>
      </c>
      <c r="D25" s="50" t="s">
        <v>53</v>
      </c>
      <c r="E25" s="51"/>
      <c r="F25" s="51"/>
      <c r="G25" s="52"/>
      <c r="H25" s="1"/>
      <c r="I25" s="1"/>
    </row>
    <row r="26" spans="1:9" x14ac:dyDescent="0.25">
      <c r="A26" s="1"/>
      <c r="B26" s="1"/>
      <c r="C26" s="6" t="s">
        <v>126</v>
      </c>
      <c r="D26" s="59" t="s">
        <v>10</v>
      </c>
      <c r="E26" s="60"/>
      <c r="F26" s="60"/>
      <c r="G26" s="61"/>
      <c r="H26" s="1"/>
      <c r="I26" s="1"/>
    </row>
    <row r="27" spans="1:9" x14ac:dyDescent="0.25">
      <c r="A27" s="1"/>
      <c r="B27" s="1"/>
      <c r="C27" s="6" t="s">
        <v>21</v>
      </c>
      <c r="D27" s="53" t="s">
        <v>127</v>
      </c>
      <c r="E27" s="54"/>
      <c r="F27" s="54"/>
      <c r="G27" s="55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QOtjiPAJjordCeqj6byll0mhvNqYQa0FSJQ7epz68bgaFA7KsVyKGvIqbfSYi1Esyd55vhTWV4+hiobYeapgJQ==" saltValue="HhqrURq8a/GtF+6l3lkzlg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8" t="s">
        <v>153</v>
      </c>
      <c r="C3" s="68"/>
      <c r="D3" s="68"/>
      <c r="E3" s="68"/>
      <c r="F3" s="68"/>
      <c r="G3" s="68"/>
      <c r="H3" s="68"/>
      <c r="I3" s="1"/>
    </row>
    <row r="4" spans="1:9" ht="15" customHeight="1" x14ac:dyDescent="0.25">
      <c r="A4" s="1"/>
      <c r="B4" s="68"/>
      <c r="C4" s="68"/>
      <c r="D4" s="68"/>
      <c r="E4" s="68"/>
      <c r="F4" s="68"/>
      <c r="G4" s="68"/>
      <c r="H4" s="6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9" t="s">
        <v>154</v>
      </c>
      <c r="C8" s="80"/>
      <c r="D8" s="80"/>
      <c r="E8" s="80"/>
      <c r="F8" s="80"/>
      <c r="G8" s="80"/>
      <c r="H8" s="81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8" t="s">
        <v>2</v>
      </c>
      <c r="F9" s="38" t="s">
        <v>15</v>
      </c>
      <c r="G9" s="38" t="s">
        <v>41</v>
      </c>
      <c r="H9" s="47"/>
      <c r="I9" s="1"/>
    </row>
    <row r="10" spans="1:9" x14ac:dyDescent="0.25">
      <c r="A10" s="1"/>
      <c r="B10" s="34" t="s">
        <v>158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9" t="s">
        <v>155</v>
      </c>
      <c r="C11" s="80"/>
      <c r="D11" s="81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NpLQXDQ6lKhiJVPvPAPNGapLcjL8mXjage8Go08vTY0sXwfRamHPD3OyCvpbmy84pmQPDJzlUAYx51jkfmM26w==" saltValue="L1fyUCB3E+RJxJiEhQV+U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120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8" t="s">
        <v>79</v>
      </c>
      <c r="C8" s="24"/>
      <c r="D8" s="24"/>
      <c r="E8" s="24"/>
      <c r="F8" s="49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7"/>
      <c r="G9" s="1"/>
    </row>
    <row r="10" spans="1:7" x14ac:dyDescent="0.25">
      <c r="A10" s="1"/>
      <c r="B10" s="22" t="s">
        <v>159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8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8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Lv5OI8HhBw5e4YtjqgwhNsECzDIME1e/Hcd9/hVevsKpAZiVSdn7Ew3GW6jrDZjT/24OxtX0vpBFLsdc0RxPpg==" saltValue="uWK/uC8pNIhenJi7ZcDEx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121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9" t="s">
        <v>102</v>
      </c>
      <c r="C8" s="80"/>
      <c r="D8" s="80"/>
      <c r="E8" s="80"/>
      <c r="F8" s="81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7"/>
      <c r="G9" s="1"/>
    </row>
    <row r="10" spans="1:7" x14ac:dyDescent="0.25">
      <c r="A10" s="1"/>
      <c r="B10" s="22" t="s">
        <v>149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8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8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9" t="s">
        <v>103</v>
      </c>
      <c r="C15" s="80"/>
      <c r="D15" s="80"/>
      <c r="E15" s="80"/>
      <c r="F15" s="81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7"/>
      <c r="G16" s="1"/>
    </row>
    <row r="17" spans="1:7" x14ac:dyDescent="0.25">
      <c r="A17" s="1"/>
      <c r="B17" s="22" t="s">
        <v>149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8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8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9" t="s">
        <v>104</v>
      </c>
      <c r="C22" s="80"/>
      <c r="D22" s="80"/>
      <c r="E22" s="80"/>
      <c r="F22" s="81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7"/>
      <c r="G23" s="1"/>
    </row>
    <row r="24" spans="1:7" x14ac:dyDescent="0.25">
      <c r="A24" s="1"/>
      <c r="B24" s="22" t="s">
        <v>149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8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8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9" t="s">
        <v>105</v>
      </c>
      <c r="C29" s="80"/>
      <c r="D29" s="80"/>
      <c r="E29" s="80"/>
      <c r="F29" s="81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7"/>
      <c r="G30" s="1"/>
    </row>
    <row r="31" spans="1:7" x14ac:dyDescent="0.25">
      <c r="A31" s="1"/>
      <c r="B31" s="22" t="s">
        <v>149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8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8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Bv0B1EtQhtSLdR8zxnixWH2iISSXb8ehpq6VcosRnXqrwdGjrfywFfDLoRMHmn23KQoHRr0DISV3mWUqc+AriA==" saltValue="fmfJgbHH75tQRKeXTTwDa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134</v>
      </c>
      <c r="C3" s="73"/>
      <c r="D3" s="73"/>
      <c r="E3" s="73"/>
      <c r="F3" s="73"/>
      <c r="G3" s="1"/>
    </row>
    <row r="4" spans="1:7" ht="25.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9" t="s">
        <v>32</v>
      </c>
      <c r="C8" s="80"/>
      <c r="D8" s="80"/>
      <c r="E8" s="80"/>
      <c r="F8" s="81"/>
      <c r="G8" s="1"/>
    </row>
    <row r="9" spans="1:7" ht="15" customHeight="1" x14ac:dyDescent="0.25">
      <c r="A9" s="1"/>
      <c r="B9" s="46" t="s">
        <v>33</v>
      </c>
      <c r="C9" s="91" t="s">
        <v>15</v>
      </c>
      <c r="D9" s="92"/>
      <c r="E9" s="91" t="s">
        <v>42</v>
      </c>
      <c r="F9" s="92"/>
      <c r="G9" s="1"/>
    </row>
    <row r="10" spans="1:7" x14ac:dyDescent="0.25">
      <c r="A10" s="1"/>
      <c r="B10" s="22" t="s">
        <v>156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VL5Ed85fGNDRJ7vwGj+g3os8b/RBN7hxEmkvHTYJDN7atHESVWkACWlAI+B8rRLHDRoDs146y8a/JA/aeuOO2A==" saltValue="3xMjor5PM/LADQTfC+uiY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135</v>
      </c>
      <c r="C3" s="73"/>
      <c r="D3" s="73"/>
      <c r="E3" s="73"/>
      <c r="F3" s="73"/>
      <c r="G3" s="1"/>
    </row>
    <row r="4" spans="1:7" ht="25.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9" t="s">
        <v>91</v>
      </c>
      <c r="C8" s="80"/>
      <c r="D8" s="80"/>
      <c r="E8" s="80"/>
      <c r="F8" s="81"/>
      <c r="G8" s="1"/>
    </row>
    <row r="9" spans="1:7" ht="15" customHeight="1" x14ac:dyDescent="0.25">
      <c r="A9" s="1"/>
      <c r="B9" s="46" t="s">
        <v>25</v>
      </c>
      <c r="C9" s="46" t="s">
        <v>15</v>
      </c>
      <c r="D9" s="47"/>
      <c r="E9" s="46" t="s">
        <v>42</v>
      </c>
      <c r="F9" s="47"/>
      <c r="G9" s="1"/>
    </row>
    <row r="10" spans="1:7" x14ac:dyDescent="0.25">
      <c r="A10" s="1"/>
      <c r="B10" s="22" t="s">
        <v>157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8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8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9" t="s">
        <v>92</v>
      </c>
      <c r="C14" s="80"/>
      <c r="D14" s="80"/>
      <c r="E14" s="80"/>
      <c r="F14" s="81"/>
      <c r="G14" s="1"/>
    </row>
    <row r="15" spans="1:7" ht="26.25" x14ac:dyDescent="0.25">
      <c r="A15" s="1"/>
      <c r="B15" s="46" t="s">
        <v>25</v>
      </c>
      <c r="C15" s="46" t="s">
        <v>15</v>
      </c>
      <c r="D15" s="47"/>
      <c r="E15" s="46" t="s">
        <v>42</v>
      </c>
      <c r="F15" s="47"/>
      <c r="G15" s="1"/>
    </row>
    <row r="16" spans="1:7" x14ac:dyDescent="0.25">
      <c r="A16" s="1"/>
      <c r="B16" s="22" t="s">
        <v>157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8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8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9" t="s">
        <v>90</v>
      </c>
      <c r="C20" s="80"/>
      <c r="D20" s="80"/>
      <c r="E20" s="80"/>
      <c r="F20" s="81"/>
      <c r="G20" s="1"/>
    </row>
    <row r="21" spans="1:7" ht="26.25" x14ac:dyDescent="0.25">
      <c r="A21" s="1"/>
      <c r="B21" s="46" t="s">
        <v>25</v>
      </c>
      <c r="C21" s="46" t="s">
        <v>15</v>
      </c>
      <c r="D21" s="47"/>
      <c r="E21" s="46" t="s">
        <v>42</v>
      </c>
      <c r="F21" s="47"/>
      <c r="G21" s="1"/>
    </row>
    <row r="22" spans="1:7" x14ac:dyDescent="0.25">
      <c r="A22" s="1"/>
      <c r="B22" s="22" t="s">
        <v>157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8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8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9" t="s">
        <v>93</v>
      </c>
      <c r="C26" s="80"/>
      <c r="D26" s="80"/>
      <c r="E26" s="80"/>
      <c r="F26" s="81"/>
      <c r="G26" s="1"/>
    </row>
    <row r="27" spans="1:7" ht="26.25" x14ac:dyDescent="0.25">
      <c r="A27" s="1"/>
      <c r="B27" s="46" t="s">
        <v>25</v>
      </c>
      <c r="C27" s="46" t="s">
        <v>15</v>
      </c>
      <c r="D27" s="47"/>
      <c r="E27" s="46" t="s">
        <v>42</v>
      </c>
      <c r="F27" s="47"/>
      <c r="G27" s="1"/>
    </row>
    <row r="28" spans="1:7" x14ac:dyDescent="0.25">
      <c r="A28" s="1"/>
      <c r="B28" s="22" t="s">
        <v>157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8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8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oOXUsrHqZxixJzyp6ZoSIYdz3aShwwaKYgoxprPRN36y2GPRTp/U1mnlx134xgf02sluJobHFvGVCyD7LDSGEg==" saltValue="pdkIkFJDwKgo4AmRQCIpk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8" t="s">
        <v>136</v>
      </c>
      <c r="C3" s="68"/>
      <c r="D3" s="68"/>
      <c r="E3" s="68"/>
      <c r="F3" s="68"/>
      <c r="G3" s="68"/>
      <c r="H3" s="68"/>
      <c r="I3" s="1"/>
    </row>
    <row r="4" spans="1:9" ht="15" customHeight="1" x14ac:dyDescent="0.25">
      <c r="A4" s="1"/>
      <c r="B4" s="68"/>
      <c r="C4" s="68"/>
      <c r="D4" s="68"/>
      <c r="E4" s="68"/>
      <c r="F4" s="68"/>
      <c r="G4" s="68"/>
      <c r="H4" s="6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9" t="s">
        <v>17</v>
      </c>
      <c r="C8" s="80"/>
      <c r="D8" s="80"/>
      <c r="E8" s="80"/>
      <c r="F8" s="80"/>
      <c r="G8" s="80"/>
      <c r="H8" s="81"/>
      <c r="I8" s="1"/>
    </row>
    <row r="9" spans="1:9" x14ac:dyDescent="0.25">
      <c r="A9" s="1"/>
      <c r="B9" s="93" t="s">
        <v>11</v>
      </c>
      <c r="C9" s="94"/>
      <c r="D9" s="94"/>
      <c r="E9" s="94"/>
      <c r="F9" s="95"/>
      <c r="G9" s="8">
        <v>1754455</v>
      </c>
      <c r="H9" s="12" t="s">
        <v>3</v>
      </c>
      <c r="I9" s="1"/>
    </row>
    <row r="10" spans="1:9" x14ac:dyDescent="0.25">
      <c r="A10" s="1"/>
      <c r="B10" s="93" t="s">
        <v>77</v>
      </c>
      <c r="C10" s="94"/>
      <c r="D10" s="94"/>
      <c r="E10" s="94"/>
      <c r="F10" s="95"/>
      <c r="G10" s="8">
        <v>0</v>
      </c>
      <c r="H10" s="12" t="s">
        <v>3</v>
      </c>
      <c r="I10" s="1"/>
    </row>
    <row r="11" spans="1:9" x14ac:dyDescent="0.25">
      <c r="A11" s="1"/>
      <c r="B11" s="93" t="s">
        <v>69</v>
      </c>
      <c r="C11" s="94"/>
      <c r="D11" s="94"/>
      <c r="E11" s="94"/>
      <c r="F11" s="95"/>
      <c r="G11" s="8">
        <v>-1589059</v>
      </c>
      <c r="H11" s="12" t="s">
        <v>3</v>
      </c>
      <c r="I11" s="1"/>
    </row>
    <row r="12" spans="1:9" x14ac:dyDescent="0.25">
      <c r="A12" s="1"/>
      <c r="B12" s="96" t="s">
        <v>14</v>
      </c>
      <c r="C12" s="97"/>
      <c r="D12" s="97"/>
      <c r="E12" s="97"/>
      <c r="F12" s="98"/>
      <c r="G12" s="17">
        <f>(G9+G10)+G11</f>
        <v>165396</v>
      </c>
      <c r="H12" s="16" t="s">
        <v>3</v>
      </c>
      <c r="I12" s="1"/>
    </row>
    <row r="13" spans="1:9" x14ac:dyDescent="0.25">
      <c r="A13" s="1"/>
      <c r="B13" s="93" t="s">
        <v>12</v>
      </c>
      <c r="C13" s="94"/>
      <c r="D13" s="94"/>
      <c r="E13" s="94"/>
      <c r="F13" s="95"/>
      <c r="G13" s="8">
        <v>1</v>
      </c>
      <c r="H13" s="12" t="s">
        <v>27</v>
      </c>
      <c r="I13" s="1"/>
    </row>
    <row r="14" spans="1:9" x14ac:dyDescent="0.25">
      <c r="A14" s="1"/>
      <c r="B14" s="79" t="s">
        <v>78</v>
      </c>
      <c r="C14" s="80"/>
      <c r="D14" s="80"/>
      <c r="E14" s="80"/>
      <c r="F14" s="81"/>
      <c r="G14" s="10">
        <f>IF(G13 = 0,0,-G12/G13)</f>
        <v>-165396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o/fZQFgoIDXxJSoMQWdq3vcuSOAjOCAsWqJMSa6f5tt35zstxADb6FUZRNDjLmvUcr2TynwlxXvc7cNh9JeMw==" saltValue="QtP5yubsXaDSxZA/EMvcG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3" t="s">
        <v>137</v>
      </c>
      <c r="C3" s="73"/>
      <c r="D3" s="1"/>
    </row>
    <row r="4" spans="1:4" ht="25.5" customHeight="1" x14ac:dyDescent="0.25">
      <c r="A4" s="1"/>
      <c r="B4" s="73"/>
      <c r="C4" s="7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8" t="s">
        <v>20</v>
      </c>
      <c r="C8" s="49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8"/>
      <c r="C13" s="49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8" t="s">
        <v>115</v>
      </c>
      <c r="C16" s="49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9"/>
      <c r="C18" s="100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371MKqKK+avnF0JIxyfAFEAu7U+JQf/qKsfPNEujwMHM+35bqBy7Y5e6gNFXLmtWr5+MtIhBZY0yJ28ZG4hcig==" saltValue="AFS2/RlWG2U5660FkOiB8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56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19</v>
      </c>
      <c r="C8" s="44"/>
      <c r="D8" s="44"/>
      <c r="E8" s="44"/>
      <c r="F8" s="44"/>
      <c r="G8" s="1"/>
    </row>
    <row r="9" spans="1:7" x14ac:dyDescent="0.25">
      <c r="A9" s="1"/>
      <c r="B9" s="40" t="s">
        <v>35</v>
      </c>
      <c r="C9" s="40"/>
      <c r="D9" s="40"/>
      <c r="E9" s="7">
        <f>'Fane 3. Omkostninger i ØR2019'!E15</f>
        <v>3278276.7713260646</v>
      </c>
      <c r="F9" s="40" t="s">
        <v>3</v>
      </c>
      <c r="G9" s="1"/>
    </row>
    <row r="10" spans="1:7" x14ac:dyDescent="0.25">
      <c r="A10" s="1"/>
      <c r="B10" s="42" t="s">
        <v>140</v>
      </c>
      <c r="C10" s="40"/>
      <c r="D10" s="40"/>
      <c r="E10" s="7">
        <f>'Fane 3. Omkostninger i ØR2019'!E10*(1-'Fane 12. Nøgletal'!C17)*(1+'Fane 12. Nøgletal'!C10)</f>
        <v>0</v>
      </c>
      <c r="F10" s="40" t="s">
        <v>3</v>
      </c>
      <c r="G10" s="1"/>
    </row>
    <row r="11" spans="1:7" x14ac:dyDescent="0.25">
      <c r="A11" s="1"/>
      <c r="B11" s="42" t="s">
        <v>143</v>
      </c>
      <c r="C11" s="40"/>
      <c r="D11" s="40"/>
      <c r="E11" s="7">
        <f>('Fane 3. Omkostninger i ØR2019'!E11+'Fane 3. Omkostninger i ØR2019'!E12)*(1-'Fane 12. Nøgletal'!C17)*(1+'Fane 12. Nøgletal'!C11)</f>
        <v>0</v>
      </c>
      <c r="F11" s="40" t="s">
        <v>3</v>
      </c>
      <c r="G11" s="1"/>
    </row>
    <row r="12" spans="1:7" ht="17.100000000000001" customHeight="1" x14ac:dyDescent="0.25">
      <c r="A12" s="1"/>
      <c r="B12" s="31" t="s">
        <v>141</v>
      </c>
      <c r="C12" s="40"/>
      <c r="D12" s="40"/>
      <c r="E12" s="7">
        <f>'Fane 8.1. Varige tillæg'!C12+'Fane 8.1. Varige tillæg'!E12</f>
        <v>0</v>
      </c>
      <c r="F12" s="40" t="s">
        <v>3</v>
      </c>
      <c r="G12" s="1"/>
    </row>
    <row r="13" spans="1:7" ht="17.100000000000001" customHeight="1" x14ac:dyDescent="0.25">
      <c r="A13" s="1"/>
      <c r="B13" s="31" t="s">
        <v>144</v>
      </c>
      <c r="C13" s="40"/>
      <c r="D13" s="40"/>
      <c r="E13" s="8">
        <f>-('Fane 10. Bortfald'!C12+'Fane 10. Bortfald'!E12)</f>
        <v>0</v>
      </c>
      <c r="F13" s="40" t="s">
        <v>3</v>
      </c>
      <c r="G13" s="1"/>
    </row>
    <row r="14" spans="1:7" ht="17.100000000000001" customHeight="1" x14ac:dyDescent="0.25">
      <c r="A14" s="1"/>
      <c r="B14" s="31" t="s">
        <v>111</v>
      </c>
      <c r="C14" s="40"/>
      <c r="D14" s="40"/>
      <c r="E14" s="8">
        <f>'Fane 9. Tilknyttet aktivitet'!C12+'Fane 9. Tilknyttet aktivitet'!E12</f>
        <v>0</v>
      </c>
      <c r="F14" s="40" t="s">
        <v>3</v>
      </c>
      <c r="G14" s="1"/>
    </row>
    <row r="15" spans="1:7" ht="17.100000000000001" customHeight="1" x14ac:dyDescent="0.25">
      <c r="A15" s="1"/>
      <c r="B15" s="31" t="s">
        <v>26</v>
      </c>
      <c r="C15" s="40"/>
      <c r="D15" s="40"/>
      <c r="E15" s="8">
        <f>(E9-SUM(E10:E11))*'Fane 12. Nøgletal'!C9+E10*'Fane 12. Nøgletal'!C10+E11*'Fane 12. Nøgletal'!C11+SUM(E12:E14)*'Fane 12. Nøgletal'!C12</f>
        <v>41634.114995841017</v>
      </c>
      <c r="F15" s="40" t="s">
        <v>3</v>
      </c>
      <c r="G15" s="1"/>
    </row>
    <row r="16" spans="1:7" ht="17.100000000000001" customHeight="1" x14ac:dyDescent="0.25">
      <c r="A16" s="1"/>
      <c r="B16" s="31" t="s">
        <v>115</v>
      </c>
      <c r="C16" s="40"/>
      <c r="D16" s="40"/>
      <c r="E16" s="8">
        <f>-SUM(E9,E12:E15)*'Fane 12. Nøgletal'!C17</f>
        <v>-56438.4850674724</v>
      </c>
      <c r="F16" s="40" t="s">
        <v>3</v>
      </c>
      <c r="G16" s="1"/>
    </row>
    <row r="17" spans="1:7" ht="17.100000000000001" customHeight="1" x14ac:dyDescent="0.25">
      <c r="A17" s="1"/>
      <c r="B17" s="45" t="s">
        <v>28</v>
      </c>
      <c r="C17" s="43"/>
      <c r="D17" s="43"/>
      <c r="E17" s="9">
        <f>SUM(E9,E12:E16)</f>
        <v>3263472.4012544332</v>
      </c>
      <c r="F17" s="38" t="s">
        <v>3</v>
      </c>
      <c r="G17" s="1"/>
    </row>
    <row r="18" spans="1:7" ht="15" customHeight="1" x14ac:dyDescent="0.25">
      <c r="A18" s="1"/>
      <c r="B18" s="44" t="s">
        <v>16</v>
      </c>
      <c r="C18" s="44"/>
      <c r="D18" s="44"/>
      <c r="E18" s="44"/>
      <c r="F18" s="44"/>
      <c r="G18" s="1"/>
    </row>
    <row r="19" spans="1:7" ht="15" customHeight="1" x14ac:dyDescent="0.25">
      <c r="A19" s="1"/>
      <c r="B19" s="38" t="s">
        <v>16</v>
      </c>
      <c r="C19" s="38"/>
      <c r="D19" s="38"/>
      <c r="E19" s="9">
        <f>'Fane 4. Ikke-påvirkelige omk.'!C13</f>
        <v>2036834.65077246</v>
      </c>
      <c r="F19" s="38" t="s">
        <v>3</v>
      </c>
      <c r="G19" s="1"/>
    </row>
    <row r="20" spans="1:7" ht="15" customHeight="1" x14ac:dyDescent="0.25">
      <c r="A20" s="1"/>
      <c r="B20" s="44" t="s">
        <v>84</v>
      </c>
      <c r="C20" s="44"/>
      <c r="D20" s="44"/>
      <c r="E20" s="44"/>
      <c r="F20" s="44"/>
      <c r="G20" s="1"/>
    </row>
    <row r="21" spans="1:7" ht="15" customHeight="1" x14ac:dyDescent="0.25">
      <c r="A21" s="1"/>
      <c r="B21" s="31" t="s">
        <v>80</v>
      </c>
      <c r="C21" s="40"/>
      <c r="D21" s="40"/>
      <c r="E21" s="8">
        <f>'Fane 8.2. Engangstillæg'!C13</f>
        <v>0</v>
      </c>
      <c r="F21" s="40" t="s">
        <v>3</v>
      </c>
      <c r="G21" s="1"/>
    </row>
    <row r="22" spans="1:7" ht="15" customHeight="1" x14ac:dyDescent="0.25">
      <c r="A22" s="1"/>
      <c r="B22" s="31" t="s">
        <v>81</v>
      </c>
      <c r="C22" s="40"/>
      <c r="D22" s="40"/>
      <c r="E22" s="8">
        <f>'Fane 8.2. Engangstillæg'!E13</f>
        <v>0</v>
      </c>
      <c r="F22" s="40" t="s">
        <v>3</v>
      </c>
      <c r="G22" s="1"/>
    </row>
    <row r="23" spans="1:7" x14ac:dyDescent="0.25">
      <c r="A23" s="1"/>
      <c r="B23" s="45" t="s">
        <v>85</v>
      </c>
      <c r="C23" s="43"/>
      <c r="D23" s="43"/>
      <c r="E23" s="9">
        <f>SUM(E21:E22)</f>
        <v>0</v>
      </c>
      <c r="F23" s="38" t="s">
        <v>3</v>
      </c>
      <c r="G23" s="1"/>
    </row>
    <row r="24" spans="1:7" x14ac:dyDescent="0.25">
      <c r="A24" s="1"/>
      <c r="B24" s="44" t="s">
        <v>10</v>
      </c>
      <c r="C24" s="44"/>
      <c r="D24" s="44"/>
      <c r="E24" s="44"/>
      <c r="F24" s="44"/>
      <c r="G24" s="1"/>
    </row>
    <row r="25" spans="1:7" ht="15" customHeight="1" x14ac:dyDescent="0.25">
      <c r="A25" s="1"/>
      <c r="B25" s="38" t="s">
        <v>18</v>
      </c>
      <c r="C25" s="38"/>
      <c r="D25" s="38"/>
      <c r="E25" s="9">
        <f>'Fane 11. Hist. over-underdæk.'!G14</f>
        <v>-165396</v>
      </c>
      <c r="F25" s="38" t="s">
        <v>3</v>
      </c>
      <c r="G25" s="1"/>
    </row>
    <row r="26" spans="1:7" ht="15" customHeight="1" x14ac:dyDescent="0.25">
      <c r="A26" s="1"/>
      <c r="B26" s="48" t="s">
        <v>160</v>
      </c>
      <c r="C26" s="44"/>
      <c r="D26" s="44"/>
      <c r="E26" s="44"/>
      <c r="F26" s="44"/>
      <c r="G26" s="1"/>
    </row>
    <row r="27" spans="1:7" x14ac:dyDescent="0.25">
      <c r="A27" s="1"/>
      <c r="B27" s="36" t="s">
        <v>161</v>
      </c>
      <c r="C27" s="38"/>
      <c r="D27" s="38"/>
      <c r="E27" s="7">
        <v>-277120.92333333334</v>
      </c>
      <c r="F27" s="7" t="s">
        <v>3</v>
      </c>
      <c r="G27" s="1"/>
    </row>
    <row r="28" spans="1:7" ht="26.25" x14ac:dyDescent="0.25">
      <c r="A28" s="1"/>
      <c r="B28" s="36" t="s">
        <v>162</v>
      </c>
      <c r="C28" s="38"/>
      <c r="D28" s="38"/>
      <c r="E28" s="7">
        <v>-11519.25</v>
      </c>
      <c r="F28" s="7" t="s">
        <v>3</v>
      </c>
      <c r="G28" s="1"/>
    </row>
    <row r="29" spans="1:7" x14ac:dyDescent="0.25">
      <c r="A29" s="1"/>
      <c r="B29" s="37" t="s">
        <v>163</v>
      </c>
      <c r="C29" s="38"/>
      <c r="D29" s="38"/>
      <c r="E29" s="7">
        <v>2363265.7000000002</v>
      </c>
      <c r="F29" s="7" t="s">
        <v>3</v>
      </c>
      <c r="G29" s="1"/>
    </row>
    <row r="30" spans="1:7" x14ac:dyDescent="0.25">
      <c r="A30" s="1"/>
      <c r="B30" s="46" t="s">
        <v>164</v>
      </c>
      <c r="C30" s="38"/>
      <c r="D30" s="38"/>
      <c r="E30" s="9">
        <f>SUM(E27:E29)</f>
        <v>2074625.5266666668</v>
      </c>
      <c r="F30" s="38" t="s">
        <v>3</v>
      </c>
      <c r="G30" s="1"/>
    </row>
    <row r="31" spans="1:7" x14ac:dyDescent="0.25">
      <c r="A31" s="1"/>
      <c r="B31" s="44" t="s">
        <v>36</v>
      </c>
      <c r="C31" s="44"/>
      <c r="D31" s="44"/>
      <c r="E31" s="10">
        <f>SUM(E17,E19,E23,E25,E30)</f>
        <v>7209536.5786935594</v>
      </c>
      <c r="F31" s="1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o4z3QaHDgWUEDLl9B8sLFbsCVF15uaJTVhgrLBtTMLvmfF0WNVt/KHjNJ3YWdSovm311ujdZCCpOdwNvq8LXaQ==" saltValue="HPz/MrRm3lWtHxKlGZkAq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73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69" t="s">
        <v>29</v>
      </c>
      <c r="C5" s="69"/>
      <c r="D5" s="69"/>
      <c r="E5" s="69"/>
      <c r="F5" s="6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19</v>
      </c>
      <c r="C8" s="44"/>
      <c r="D8" s="44"/>
      <c r="E8" s="44"/>
      <c r="F8" s="44"/>
      <c r="G8" s="1"/>
    </row>
    <row r="9" spans="1:7" ht="15" customHeight="1" x14ac:dyDescent="0.25">
      <c r="A9" s="1"/>
      <c r="B9" s="40" t="s">
        <v>37</v>
      </c>
      <c r="C9" s="40"/>
      <c r="D9" s="40"/>
      <c r="E9" s="7">
        <f>'Fane 2.1. Økonomisk ramme 2020'!E17</f>
        <v>3263472.4012544332</v>
      </c>
      <c r="F9" s="40" t="s">
        <v>3</v>
      </c>
      <c r="G9" s="1"/>
    </row>
    <row r="10" spans="1:7" ht="15" customHeight="1" x14ac:dyDescent="0.25">
      <c r="A10" s="1"/>
      <c r="B10" s="40" t="s">
        <v>165</v>
      </c>
      <c r="C10" s="40"/>
      <c r="D10" s="40"/>
      <c r="E10" s="7">
        <v>48698.945515203734</v>
      </c>
      <c r="F10" s="40" t="s">
        <v>3</v>
      </c>
      <c r="G10" s="1"/>
    </row>
    <row r="11" spans="1:7" ht="15" customHeight="1" x14ac:dyDescent="0.25">
      <c r="A11" s="1"/>
      <c r="B11" s="31" t="s">
        <v>144</v>
      </c>
      <c r="C11" s="40"/>
      <c r="D11" s="40"/>
      <c r="E11" s="7">
        <f>-('Fane 10. Bortfald'!C18+'Fane 10. Bortfald'!E18)</f>
        <v>0</v>
      </c>
      <c r="F11" s="40" t="s">
        <v>3</v>
      </c>
      <c r="G11" s="1"/>
    </row>
    <row r="12" spans="1:7" ht="15" customHeight="1" x14ac:dyDescent="0.25">
      <c r="A12" s="1"/>
      <c r="B12" s="41" t="s">
        <v>26</v>
      </c>
      <c r="C12" s="40"/>
      <c r="D12" s="40"/>
      <c r="E12" s="8">
        <f>SUM(E9:E11)*'Fane 12. Nøgletal'!C12</f>
        <v>65249.775531361847</v>
      </c>
      <c r="F12" s="40" t="s">
        <v>3</v>
      </c>
      <c r="G12" s="1"/>
    </row>
    <row r="13" spans="1:7" ht="15" customHeight="1" x14ac:dyDescent="0.25">
      <c r="A13" s="1"/>
      <c r="B13" s="41" t="s">
        <v>115</v>
      </c>
      <c r="C13" s="40"/>
      <c r="D13" s="40"/>
      <c r="E13" s="8">
        <f>-SUM(E9:E12)*'Fane 12. Nøgletal'!C17</f>
        <v>-57416.15907911698</v>
      </c>
      <c r="F13" s="40" t="s">
        <v>3</v>
      </c>
      <c r="G13" s="1"/>
    </row>
    <row r="14" spans="1:7" ht="15" customHeight="1" x14ac:dyDescent="0.25">
      <c r="A14" s="1"/>
      <c r="B14" s="43" t="s">
        <v>28</v>
      </c>
      <c r="C14" s="43"/>
      <c r="D14" s="43"/>
      <c r="E14" s="9">
        <f>SUM(E9:E13)</f>
        <v>3320004.963221882</v>
      </c>
      <c r="F14" s="38" t="s">
        <v>3</v>
      </c>
      <c r="G14" s="1"/>
    </row>
    <row r="15" spans="1:7" x14ac:dyDescent="0.25">
      <c r="A15" s="1"/>
      <c r="B15" s="44" t="s">
        <v>16</v>
      </c>
      <c r="C15" s="44"/>
      <c r="D15" s="44"/>
      <c r="E15" s="44"/>
      <c r="F15" s="44"/>
      <c r="G15" s="1"/>
    </row>
    <row r="16" spans="1:7" ht="15" customHeight="1" x14ac:dyDescent="0.25">
      <c r="A16" s="1"/>
      <c r="B16" s="38" t="s">
        <v>16</v>
      </c>
      <c r="C16" s="38"/>
      <c r="D16" s="38"/>
      <c r="E16" s="9">
        <f>'Fane 4. Ikke-påvirkelige omk.'!C13*(1+'Fane 12. Nøgletal'!C12)</f>
        <v>2076960.2933926776</v>
      </c>
      <c r="F16" s="38" t="s">
        <v>3</v>
      </c>
      <c r="G16" s="1"/>
    </row>
    <row r="17" spans="1:7" ht="15" customHeight="1" x14ac:dyDescent="0.25">
      <c r="A17" s="1"/>
      <c r="B17" s="44" t="s">
        <v>84</v>
      </c>
      <c r="C17" s="44"/>
      <c r="D17" s="44"/>
      <c r="E17" s="44"/>
      <c r="F17" s="44"/>
      <c r="G17" s="1"/>
    </row>
    <row r="18" spans="1:7" ht="15" customHeight="1" x14ac:dyDescent="0.25">
      <c r="A18" s="1"/>
      <c r="B18" s="31" t="s">
        <v>80</v>
      </c>
      <c r="C18" s="40"/>
      <c r="D18" s="40"/>
      <c r="E18" s="8">
        <f>'Fane 8.2. Engangstillæg'!C20</f>
        <v>0</v>
      </c>
      <c r="F18" s="40" t="s">
        <v>3</v>
      </c>
      <c r="G18" s="1"/>
    </row>
    <row r="19" spans="1:7" ht="15" customHeight="1" x14ac:dyDescent="0.25">
      <c r="A19" s="1"/>
      <c r="B19" s="31" t="s">
        <v>81</v>
      </c>
      <c r="C19" s="40"/>
      <c r="D19" s="40"/>
      <c r="E19" s="8">
        <f>'Fane 8.2. Engangstillæg'!E20</f>
        <v>0</v>
      </c>
      <c r="F19" s="40" t="s">
        <v>3</v>
      </c>
      <c r="G19" s="1"/>
    </row>
    <row r="20" spans="1:7" ht="15" customHeight="1" x14ac:dyDescent="0.25">
      <c r="A20" s="1"/>
      <c r="B20" s="45" t="s">
        <v>85</v>
      </c>
      <c r="C20" s="43"/>
      <c r="D20" s="43"/>
      <c r="E20" s="9">
        <f>SUM(E18:E19)</f>
        <v>0</v>
      </c>
      <c r="F20" s="38" t="s">
        <v>3</v>
      </c>
      <c r="G20" s="1"/>
    </row>
    <row r="21" spans="1:7" x14ac:dyDescent="0.25">
      <c r="A21" s="1"/>
      <c r="B21" s="44" t="s">
        <v>95</v>
      </c>
      <c r="C21" s="44"/>
      <c r="D21" s="44"/>
      <c r="E21" s="44"/>
      <c r="F21" s="44"/>
      <c r="G21" s="1"/>
    </row>
    <row r="22" spans="1:7" ht="15" customHeight="1" x14ac:dyDescent="0.25">
      <c r="A22" s="1"/>
      <c r="B22" s="38" t="s">
        <v>131</v>
      </c>
      <c r="C22" s="38"/>
      <c r="D22" s="38"/>
      <c r="E22" s="9">
        <f>'Fane 5. Kontrol af ØR2018'!E35</f>
        <v>227964.39381666668</v>
      </c>
      <c r="F22" s="38" t="s">
        <v>3</v>
      </c>
      <c r="G22" s="1"/>
    </row>
    <row r="23" spans="1:7" x14ac:dyDescent="0.25">
      <c r="A23" s="1"/>
      <c r="B23" s="44" t="s">
        <v>39</v>
      </c>
      <c r="C23" s="44"/>
      <c r="D23" s="44"/>
      <c r="E23" s="10">
        <f>SUM(E14,E16,E20,E22)</f>
        <v>5624929.650431226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wgweuQ2tvrgOuj+ISDLkZkCEkMNspTmmttnhQEPmBUUurbncszRGN/lr6GKBup7HMAbpgzVsyWQRF8Z6FXjDSw==" saltValue="bzz7TAQHk8cVvZdgSNoCR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146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69" t="s">
        <v>29</v>
      </c>
      <c r="C5" s="69"/>
      <c r="D5" s="69"/>
      <c r="E5" s="69"/>
      <c r="F5" s="6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4" t="s">
        <v>19</v>
      </c>
      <c r="C7" s="44"/>
      <c r="D7" s="44"/>
      <c r="E7" s="44"/>
      <c r="F7" s="44"/>
      <c r="G7" s="1"/>
    </row>
    <row r="8" spans="1:7" ht="15" customHeight="1" x14ac:dyDescent="0.25">
      <c r="A8" s="1"/>
      <c r="B8" s="40" t="s">
        <v>37</v>
      </c>
      <c r="C8" s="40"/>
      <c r="D8" s="40"/>
      <c r="E8" s="7">
        <f>'Fane 2.2. Økonomisk ramme 2021'!E14</f>
        <v>3320004.963221882</v>
      </c>
      <c r="F8" s="40" t="s">
        <v>3</v>
      </c>
      <c r="G8" s="1"/>
    </row>
    <row r="9" spans="1:7" ht="15" customHeight="1" x14ac:dyDescent="0.25">
      <c r="A9" s="1"/>
      <c r="B9" s="40" t="s">
        <v>144</v>
      </c>
      <c r="C9" s="40"/>
      <c r="D9" s="40"/>
      <c r="E9" s="7">
        <f>-('Fane 10. Bortfald'!C24+'Fane 10. Bortfald'!E24)</f>
        <v>0</v>
      </c>
      <c r="F9" s="40" t="s">
        <v>3</v>
      </c>
      <c r="G9" s="1"/>
    </row>
    <row r="10" spans="1:7" ht="15" customHeight="1" x14ac:dyDescent="0.25">
      <c r="A10" s="1"/>
      <c r="B10" s="41" t="s">
        <v>26</v>
      </c>
      <c r="C10" s="40"/>
      <c r="D10" s="40"/>
      <c r="E10" s="8">
        <f>SUM(E8:E9)*'Fane 12. Nøgletal'!C12</f>
        <v>65404.097775471069</v>
      </c>
      <c r="F10" s="40" t="s">
        <v>3</v>
      </c>
      <c r="G10" s="1"/>
    </row>
    <row r="11" spans="1:7" ht="15" customHeight="1" x14ac:dyDescent="0.25">
      <c r="A11" s="1"/>
      <c r="B11" s="41" t="s">
        <v>115</v>
      </c>
      <c r="C11" s="40"/>
      <c r="D11" s="40"/>
      <c r="E11" s="8">
        <f>-SUM(E8:E10)*'Fane 12. Nøgletal'!C17</f>
        <v>-57551.954036955001</v>
      </c>
      <c r="F11" s="40" t="s">
        <v>3</v>
      </c>
      <c r="G11" s="1"/>
    </row>
    <row r="12" spans="1:7" x14ac:dyDescent="0.25">
      <c r="A12" s="1"/>
      <c r="B12" s="43" t="s">
        <v>28</v>
      </c>
      <c r="C12" s="43"/>
      <c r="D12" s="43"/>
      <c r="E12" s="9">
        <f>SUM(E8:E11)</f>
        <v>3327857.1069603981</v>
      </c>
      <c r="F12" s="38" t="s">
        <v>3</v>
      </c>
      <c r="G12" s="1"/>
    </row>
    <row r="13" spans="1:7" x14ac:dyDescent="0.25">
      <c r="A13" s="1"/>
      <c r="B13" s="44" t="s">
        <v>16</v>
      </c>
      <c r="C13" s="44"/>
      <c r="D13" s="44"/>
      <c r="E13" s="44"/>
      <c r="F13" s="44"/>
      <c r="G13" s="1"/>
    </row>
    <row r="14" spans="1:7" ht="15" customHeight="1" x14ac:dyDescent="0.25">
      <c r="A14" s="1"/>
      <c r="B14" s="38" t="s">
        <v>16</v>
      </c>
      <c r="C14" s="38"/>
      <c r="D14" s="38"/>
      <c r="E14" s="9">
        <f>'Fane 4. Ikke-påvirkelige omk.'!C13*(1+'Fane 12. Nøgletal'!C12)^2</f>
        <v>2117876.4111725134</v>
      </c>
      <c r="F14" s="38" t="s">
        <v>3</v>
      </c>
      <c r="G14" s="1"/>
    </row>
    <row r="15" spans="1:7" ht="15" customHeight="1" x14ac:dyDescent="0.25">
      <c r="A15" s="1"/>
      <c r="B15" s="44" t="s">
        <v>84</v>
      </c>
      <c r="C15" s="44"/>
      <c r="D15" s="44"/>
      <c r="E15" s="44"/>
      <c r="F15" s="44"/>
      <c r="G15" s="1"/>
    </row>
    <row r="16" spans="1:7" ht="15" customHeight="1" x14ac:dyDescent="0.25">
      <c r="A16" s="1"/>
      <c r="B16" s="31" t="s">
        <v>80</v>
      </c>
      <c r="C16" s="40"/>
      <c r="D16" s="40"/>
      <c r="E16" s="8">
        <f>'Fane 8.2. Engangstillæg'!C27</f>
        <v>0</v>
      </c>
      <c r="F16" s="40" t="s">
        <v>3</v>
      </c>
      <c r="G16" s="1"/>
    </row>
    <row r="17" spans="1:7" ht="15" customHeight="1" x14ac:dyDescent="0.25">
      <c r="A17" s="1"/>
      <c r="B17" s="31" t="s">
        <v>81</v>
      </c>
      <c r="C17" s="40"/>
      <c r="D17" s="40"/>
      <c r="E17" s="8">
        <f>'Fane 8.2. Engangstillæg'!E27</f>
        <v>0</v>
      </c>
      <c r="F17" s="40" t="s">
        <v>3</v>
      </c>
      <c r="G17" s="1"/>
    </row>
    <row r="18" spans="1:7" ht="15" customHeight="1" x14ac:dyDescent="0.25">
      <c r="A18" s="1"/>
      <c r="B18" s="45" t="s">
        <v>85</v>
      </c>
      <c r="C18" s="43"/>
      <c r="D18" s="43"/>
      <c r="E18" s="9">
        <f>SUM(E16:E17)</f>
        <v>0</v>
      </c>
      <c r="F18" s="38" t="s">
        <v>3</v>
      </c>
      <c r="G18" s="1"/>
    </row>
    <row r="19" spans="1:7" ht="15" customHeight="1" x14ac:dyDescent="0.25">
      <c r="A19" s="1"/>
      <c r="B19" s="44" t="s">
        <v>95</v>
      </c>
      <c r="C19" s="44"/>
      <c r="D19" s="44"/>
      <c r="E19" s="44"/>
      <c r="F19" s="44"/>
      <c r="G19" s="1"/>
    </row>
    <row r="20" spans="1:7" ht="15" customHeight="1" x14ac:dyDescent="0.25">
      <c r="A20" s="1"/>
      <c r="B20" s="38" t="s">
        <v>131</v>
      </c>
      <c r="C20" s="38"/>
      <c r="D20" s="38"/>
      <c r="E20" s="9">
        <f>'Fane 2.2. Økonomisk ramme 2021'!E22</f>
        <v>227964.39381666668</v>
      </c>
      <c r="F20" s="38" t="s">
        <v>3</v>
      </c>
      <c r="G20" s="1"/>
    </row>
    <row r="21" spans="1:7" x14ac:dyDescent="0.25">
      <c r="A21" s="1"/>
      <c r="B21" s="44" t="s">
        <v>40</v>
      </c>
      <c r="C21" s="44"/>
      <c r="D21" s="44"/>
      <c r="E21" s="10">
        <f>SUM(E12,E14,E18,E20)</f>
        <v>5673697.9119495787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aAQsUWnxsKOEbjBvKHdDvIO25o5kNSL02KSFrCQZSg5+7eXk6fEqfqC1FpxOxx6lTKTosxDkriREpR04nAP4Q==" saltValue="YF/JcactMX0R6oOysJIHZ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145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69" t="s">
        <v>29</v>
      </c>
      <c r="C5" s="69"/>
      <c r="D5" s="69"/>
      <c r="E5" s="69"/>
      <c r="F5" s="6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4" t="s">
        <v>19</v>
      </c>
      <c r="C7" s="44"/>
      <c r="D7" s="44"/>
      <c r="E7" s="44"/>
      <c r="F7" s="44"/>
      <c r="G7" s="1"/>
    </row>
    <row r="8" spans="1:7" ht="15" customHeight="1" x14ac:dyDescent="0.25">
      <c r="A8" s="1"/>
      <c r="B8" s="40" t="s">
        <v>38</v>
      </c>
      <c r="C8" s="40"/>
      <c r="D8" s="40"/>
      <c r="E8" s="7">
        <f>'Fane 2.3. Økonomisk ramme 2022'!E12</f>
        <v>3327857.1069603981</v>
      </c>
      <c r="F8" s="40" t="s">
        <v>3</v>
      </c>
      <c r="G8" s="1"/>
    </row>
    <row r="9" spans="1:7" ht="15" customHeight="1" x14ac:dyDescent="0.25">
      <c r="A9" s="1"/>
      <c r="B9" s="40" t="s">
        <v>144</v>
      </c>
      <c r="C9" s="40"/>
      <c r="D9" s="40"/>
      <c r="E9" s="7">
        <f>-('Fane 10. Bortfald'!C30+'Fane 10. Bortfald'!E30)</f>
        <v>0</v>
      </c>
      <c r="F9" s="40" t="s">
        <v>3</v>
      </c>
      <c r="G9" s="1"/>
    </row>
    <row r="10" spans="1:7" ht="15" customHeight="1" x14ac:dyDescent="0.25">
      <c r="A10" s="1"/>
      <c r="B10" s="41" t="s">
        <v>26</v>
      </c>
      <c r="C10" s="40"/>
      <c r="D10" s="40"/>
      <c r="E10" s="8">
        <f>E8*'Fane 12. Nøgletal'!C12</f>
        <v>65558.785007119834</v>
      </c>
      <c r="F10" s="40" t="s">
        <v>3</v>
      </c>
      <c r="G10" s="1"/>
    </row>
    <row r="11" spans="1:7" ht="15" customHeight="1" x14ac:dyDescent="0.25">
      <c r="A11" s="1"/>
      <c r="B11" s="41" t="s">
        <v>115</v>
      </c>
      <c r="C11" s="40"/>
      <c r="D11" s="40"/>
      <c r="E11" s="8">
        <f>-SUM(E8:E10)*'Fane 12. Nøgletal'!C17</f>
        <v>-57688.07016344781</v>
      </c>
      <c r="F11" s="40" t="s">
        <v>3</v>
      </c>
      <c r="G11" s="1"/>
    </row>
    <row r="12" spans="1:7" x14ac:dyDescent="0.25">
      <c r="A12" s="1"/>
      <c r="B12" s="43" t="s">
        <v>28</v>
      </c>
      <c r="C12" s="43"/>
      <c r="D12" s="43"/>
      <c r="E12" s="9">
        <f>SUM(E8:E11)</f>
        <v>3335727.8218040699</v>
      </c>
      <c r="F12" s="38" t="s">
        <v>3</v>
      </c>
      <c r="G12" s="1"/>
    </row>
    <row r="13" spans="1:7" x14ac:dyDescent="0.25">
      <c r="A13" s="1"/>
      <c r="B13" s="44" t="s">
        <v>16</v>
      </c>
      <c r="C13" s="44"/>
      <c r="D13" s="44"/>
      <c r="E13" s="44"/>
      <c r="F13" s="44"/>
      <c r="G13" s="1"/>
    </row>
    <row r="14" spans="1:7" ht="15" customHeight="1" x14ac:dyDescent="0.25">
      <c r="A14" s="1"/>
      <c r="B14" s="38" t="s">
        <v>16</v>
      </c>
      <c r="C14" s="38"/>
      <c r="D14" s="38"/>
      <c r="E14" s="9">
        <f>'Fane 4. Ikke-påvirkelige omk.'!C13*(1+'Fane 12. Nøgletal'!C12)^3</f>
        <v>2159598.5764726116</v>
      </c>
      <c r="F14" s="38" t="s">
        <v>3</v>
      </c>
      <c r="G14" s="1"/>
    </row>
    <row r="15" spans="1:7" ht="15" customHeight="1" x14ac:dyDescent="0.25">
      <c r="A15" s="1"/>
      <c r="B15" s="44" t="s">
        <v>84</v>
      </c>
      <c r="C15" s="44"/>
      <c r="D15" s="44"/>
      <c r="E15" s="44"/>
      <c r="F15" s="44"/>
      <c r="G15" s="1"/>
    </row>
    <row r="16" spans="1:7" ht="15" customHeight="1" x14ac:dyDescent="0.25">
      <c r="A16" s="1"/>
      <c r="B16" s="31" t="s">
        <v>80</v>
      </c>
      <c r="C16" s="40"/>
      <c r="D16" s="40"/>
      <c r="E16" s="8">
        <f>'Fane 8.2. Engangstillæg'!C34</f>
        <v>0</v>
      </c>
      <c r="F16" s="40" t="s">
        <v>3</v>
      </c>
      <c r="G16" s="1"/>
    </row>
    <row r="17" spans="1:7" ht="15" customHeight="1" x14ac:dyDescent="0.25">
      <c r="A17" s="1"/>
      <c r="B17" s="31" t="s">
        <v>81</v>
      </c>
      <c r="C17" s="40"/>
      <c r="D17" s="40"/>
      <c r="E17" s="8">
        <f>'Fane 8.2. Engangstillæg'!E34</f>
        <v>0</v>
      </c>
      <c r="F17" s="40" t="s">
        <v>3</v>
      </c>
      <c r="G17" s="1"/>
    </row>
    <row r="18" spans="1:7" ht="15" customHeight="1" x14ac:dyDescent="0.25">
      <c r="A18" s="1"/>
      <c r="B18" s="45" t="s">
        <v>85</v>
      </c>
      <c r="C18" s="43"/>
      <c r="D18" s="43"/>
      <c r="E18" s="9">
        <f>SUM(E16:E17)</f>
        <v>0</v>
      </c>
      <c r="F18" s="38" t="s">
        <v>3</v>
      </c>
      <c r="G18" s="1"/>
    </row>
    <row r="19" spans="1:7" ht="15" customHeight="1" x14ac:dyDescent="0.25">
      <c r="A19" s="1"/>
      <c r="B19" s="44" t="s">
        <v>95</v>
      </c>
      <c r="C19" s="44"/>
      <c r="D19" s="44"/>
      <c r="E19" s="44"/>
      <c r="F19" s="44"/>
      <c r="G19" s="1"/>
    </row>
    <row r="20" spans="1:7" ht="15" customHeight="1" x14ac:dyDescent="0.25">
      <c r="A20" s="1"/>
      <c r="B20" s="38" t="s">
        <v>131</v>
      </c>
      <c r="C20" s="38"/>
      <c r="D20" s="38"/>
      <c r="E20" s="9">
        <f>'Fane 2.3. Økonomisk ramme 2022'!E20</f>
        <v>227964.39381666668</v>
      </c>
      <c r="F20" s="38" t="s">
        <v>3</v>
      </c>
      <c r="G20" s="1"/>
    </row>
    <row r="21" spans="1:7" x14ac:dyDescent="0.25">
      <c r="A21" s="1"/>
      <c r="B21" s="44" t="s">
        <v>89</v>
      </c>
      <c r="C21" s="44"/>
      <c r="D21" s="44"/>
      <c r="E21" s="10">
        <f>SUM(E12,E14,E18,E20)</f>
        <v>5723290.7920933478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fXHprZkFYBUEgBvetHSzEs9Ua+plAcZnCG0fFJGB7HAJZfznuRNJwdI434Cj/MTtWBMkvxUlu2HoMBswzrfl3A==" saltValue="/iXfOYVzRLOQORJGiJRBQ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138</v>
      </c>
      <c r="C3" s="73"/>
      <c r="D3" s="73"/>
      <c r="E3" s="73"/>
      <c r="F3" s="73"/>
      <c r="G3" s="1"/>
    </row>
    <row r="4" spans="1:7" ht="29.2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72</v>
      </c>
      <c r="C8" s="44"/>
      <c r="D8" s="44"/>
      <c r="E8" s="44"/>
      <c r="F8" s="44"/>
      <c r="G8" s="1"/>
    </row>
    <row r="9" spans="1:7" x14ac:dyDescent="0.25">
      <c r="A9" s="1"/>
      <c r="B9" s="74" t="s">
        <v>70</v>
      </c>
      <c r="C9" s="74"/>
      <c r="D9" s="74"/>
      <c r="E9" s="7">
        <v>3293148.299732828</v>
      </c>
      <c r="F9" s="40" t="s">
        <v>3</v>
      </c>
      <c r="G9" s="1"/>
    </row>
    <row r="10" spans="1:7" x14ac:dyDescent="0.25">
      <c r="A10" s="1"/>
      <c r="B10" s="76" t="s">
        <v>140</v>
      </c>
      <c r="C10" s="76"/>
      <c r="D10" s="76"/>
      <c r="E10" s="7">
        <v>0</v>
      </c>
      <c r="F10" s="40" t="s">
        <v>3</v>
      </c>
      <c r="G10" s="1"/>
    </row>
    <row r="11" spans="1:7" x14ac:dyDescent="0.25">
      <c r="A11" s="1"/>
      <c r="B11" s="75" t="s">
        <v>141</v>
      </c>
      <c r="C11" s="75"/>
      <c r="D11" s="75"/>
      <c r="E11" s="7">
        <v>0</v>
      </c>
      <c r="F11" s="40" t="s">
        <v>3</v>
      </c>
      <c r="G11" s="1"/>
    </row>
    <row r="12" spans="1:7" x14ac:dyDescent="0.25">
      <c r="A12" s="1"/>
      <c r="B12" s="75" t="s">
        <v>142</v>
      </c>
      <c r="C12" s="75"/>
      <c r="D12" s="75"/>
      <c r="E12" s="8">
        <v>0</v>
      </c>
      <c r="F12" s="40" t="s">
        <v>3</v>
      </c>
      <c r="G12" s="1"/>
    </row>
    <row r="13" spans="1:7" x14ac:dyDescent="0.25">
      <c r="A13" s="1"/>
      <c r="B13" s="75" t="s">
        <v>26</v>
      </c>
      <c r="C13" s="75"/>
      <c r="D13" s="75"/>
      <c r="E13" s="8">
        <f>(SUM(E9:E9)-SUM(E10:E10))*'Fane 12. Nøgletal'!C9+SUM(E10:E10)*'Fane 12. Nøgletal'!C10+SUM(E11:E12)*'Fane 12. Nøgletal'!C11</f>
        <v>41822.983406606916</v>
      </c>
      <c r="F13" s="40" t="s">
        <v>3</v>
      </c>
      <c r="G13" s="1"/>
    </row>
    <row r="14" spans="1:7" x14ac:dyDescent="0.25">
      <c r="A14" s="1"/>
      <c r="B14" s="75" t="s">
        <v>115</v>
      </c>
      <c r="C14" s="75"/>
      <c r="D14" s="75"/>
      <c r="E14" s="8">
        <f>-SUM(E9:E9,E11:E13)*'Fane 12. Nøgletal'!C17</f>
        <v>-56694.511813370402</v>
      </c>
      <c r="F14" s="40" t="s">
        <v>3</v>
      </c>
      <c r="G14" s="1"/>
    </row>
    <row r="15" spans="1:7" x14ac:dyDescent="0.25">
      <c r="A15" s="1"/>
      <c r="B15" s="77" t="s">
        <v>28</v>
      </c>
      <c r="C15" s="77"/>
      <c r="D15" s="77"/>
      <c r="E15" s="9">
        <f>SUM(E9,E11:E14)</f>
        <v>3278276.7713260646</v>
      </c>
      <c r="F15" s="38" t="s">
        <v>3</v>
      </c>
      <c r="G15" s="1"/>
    </row>
    <row r="16" spans="1:7" x14ac:dyDescent="0.25">
      <c r="A16" s="1"/>
      <c r="B16" s="78" t="s">
        <v>16</v>
      </c>
      <c r="C16" s="78"/>
      <c r="D16" s="78"/>
      <c r="E16" s="44"/>
      <c r="F16" s="44"/>
      <c r="G16" s="1"/>
    </row>
    <row r="17" spans="1:7" x14ac:dyDescent="0.25">
      <c r="A17" s="1"/>
      <c r="B17" s="72" t="s">
        <v>16</v>
      </c>
      <c r="C17" s="72"/>
      <c r="D17" s="72"/>
      <c r="E17" s="9">
        <v>1901681.3686187796</v>
      </c>
      <c r="F17" s="38" t="s">
        <v>3</v>
      </c>
      <c r="G17" s="1"/>
    </row>
    <row r="18" spans="1:7" x14ac:dyDescent="0.25">
      <c r="A18" s="1"/>
      <c r="B18" s="44" t="s">
        <v>71</v>
      </c>
      <c r="C18" s="44"/>
      <c r="D18" s="44"/>
      <c r="E18" s="44"/>
      <c r="F18" s="44"/>
      <c r="G18" s="1"/>
    </row>
    <row r="19" spans="1:7" ht="27" customHeight="1" x14ac:dyDescent="0.25">
      <c r="A19" s="1"/>
      <c r="B19" s="71" t="s">
        <v>74</v>
      </c>
      <c r="C19" s="71"/>
      <c r="D19" s="71"/>
      <c r="E19" s="9">
        <v>9929.9245562173783</v>
      </c>
      <c r="F19" s="38" t="s">
        <v>3</v>
      </c>
      <c r="G19" s="1"/>
    </row>
    <row r="20" spans="1:7" x14ac:dyDescent="0.25">
      <c r="A20" s="1"/>
      <c r="B20" s="44" t="s">
        <v>10</v>
      </c>
      <c r="C20" s="44"/>
      <c r="D20" s="44"/>
      <c r="E20" s="44"/>
      <c r="F20" s="44"/>
      <c r="G20" s="1"/>
    </row>
    <row r="21" spans="1:7" x14ac:dyDescent="0.25">
      <c r="A21" s="1"/>
      <c r="B21" s="72" t="s">
        <v>18</v>
      </c>
      <c r="C21" s="72"/>
      <c r="D21" s="72"/>
      <c r="E21" s="9">
        <v>-165396</v>
      </c>
      <c r="F21" s="38" t="s">
        <v>3</v>
      </c>
      <c r="G21" s="1"/>
    </row>
    <row r="22" spans="1:7" x14ac:dyDescent="0.25">
      <c r="A22" s="1"/>
      <c r="B22" s="44" t="s">
        <v>23</v>
      </c>
      <c r="C22" s="44"/>
      <c r="D22" s="44"/>
      <c r="E22" s="10">
        <f>SUM(E21,E19,E17,E15)</f>
        <v>5024492.064501062</v>
      </c>
      <c r="F22" s="11" t="s">
        <v>3</v>
      </c>
      <c r="G22" s="1"/>
    </row>
    <row r="23" spans="1:7" ht="28.5" customHeight="1" x14ac:dyDescent="0.25">
      <c r="A23" s="1"/>
      <c r="B23" s="70" t="s">
        <v>118</v>
      </c>
      <c r="C23" s="70"/>
      <c r="D23" s="70"/>
      <c r="E23" s="70"/>
      <c r="F23" s="70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FHOkyToYN7TVzcYkAHW/nvREk/QTMKBmynBy+RfXFvTs/bH5xeZPl4MnFuNsLLxGqJYOhU556qCRheLkwbmAEw==" saltValue="JSwBrh2v0zI4RE5AKdH8+w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8" t="s">
        <v>110</v>
      </c>
      <c r="C3" s="68"/>
      <c r="D3" s="68"/>
      <c r="E3" s="1"/>
      <c r="F3" s="1"/>
    </row>
    <row r="4" spans="1:6" ht="15" customHeight="1" x14ac:dyDescent="0.25">
      <c r="A4" s="1"/>
      <c r="B4" s="68"/>
      <c r="C4" s="68"/>
      <c r="D4" s="6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9" t="s">
        <v>58</v>
      </c>
      <c r="C8" s="80"/>
      <c r="D8" s="81"/>
      <c r="E8" s="1"/>
      <c r="F8" s="1"/>
    </row>
    <row r="9" spans="1:6" ht="15" customHeight="1" x14ac:dyDescent="0.25">
      <c r="A9" s="1"/>
      <c r="B9" s="19" t="s">
        <v>43</v>
      </c>
      <c r="C9" s="38" t="s">
        <v>59</v>
      </c>
      <c r="D9" s="38"/>
      <c r="E9" s="1"/>
      <c r="F9" s="1"/>
    </row>
    <row r="10" spans="1:6" x14ac:dyDescent="0.25">
      <c r="A10" s="1"/>
      <c r="B10" s="30" t="s">
        <v>147</v>
      </c>
      <c r="C10" s="8">
        <v>1955167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3727</v>
      </c>
      <c r="D11" s="12" t="s">
        <v>3</v>
      </c>
      <c r="E11" s="1"/>
      <c r="F11" s="1"/>
    </row>
    <row r="12" spans="1:6" x14ac:dyDescent="0.25">
      <c r="A12" s="1"/>
      <c r="B12" s="48" t="s">
        <v>60</v>
      </c>
      <c r="C12" s="10">
        <f>SUM(C10:C11)</f>
        <v>1958894</v>
      </c>
      <c r="D12" s="11" t="s">
        <v>3</v>
      </c>
      <c r="E12" s="1"/>
      <c r="F12" s="1"/>
    </row>
    <row r="13" spans="1:6" x14ac:dyDescent="0.25">
      <c r="A13" s="1"/>
      <c r="B13" s="48" t="s">
        <v>61</v>
      </c>
      <c r="C13" s="10">
        <f>C12*(1+'Fane 12. Nøgletal'!C12)^2</f>
        <v>2036834.65077246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Ks274JZzCPn9SYQSYMoSa5+HbYs6IfSmQ4GyTl4oZZeViptlm+g0QAa3dzD7BVoys4myGDVdVMyyEhNkGJIwdg==" saltValue="V1GRPl5VMZGFrziGnPVSD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3" t="s">
        <v>119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ht="15" customHeight="1" x14ac:dyDescent="0.25">
      <c r="A5" s="1"/>
      <c r="B5" s="39"/>
      <c r="C5" s="39"/>
      <c r="D5" s="39"/>
      <c r="E5" s="39"/>
      <c r="F5" s="39"/>
      <c r="G5" s="1"/>
    </row>
    <row r="6" spans="1:7" ht="15" customHeight="1" x14ac:dyDescent="0.25">
      <c r="A6" s="1"/>
      <c r="B6" s="82" t="s">
        <v>47</v>
      </c>
      <c r="C6" s="82"/>
      <c r="D6" s="82"/>
      <c r="E6" s="82"/>
      <c r="F6" s="82"/>
      <c r="G6" s="1"/>
    </row>
    <row r="7" spans="1:7" ht="15" customHeight="1" x14ac:dyDescent="0.25">
      <c r="A7" s="1"/>
      <c r="B7" s="83" t="s">
        <v>45</v>
      </c>
      <c r="C7" s="83"/>
      <c r="D7" s="83"/>
      <c r="E7" s="8">
        <v>-302727.42473333335</v>
      </c>
      <c r="F7" s="12" t="s">
        <v>3</v>
      </c>
      <c r="G7" s="1"/>
    </row>
    <row r="8" spans="1:7" ht="15" customHeight="1" x14ac:dyDescent="0.25">
      <c r="A8" s="1"/>
      <c r="B8" s="83" t="s">
        <v>46</v>
      </c>
      <c r="C8" s="83"/>
      <c r="D8" s="83"/>
      <c r="E8" s="8">
        <v>1214585</v>
      </c>
      <c r="F8" s="12" t="s">
        <v>3</v>
      </c>
      <c r="G8" s="1"/>
    </row>
    <row r="9" spans="1:7" ht="15" customHeight="1" x14ac:dyDescent="0.25">
      <c r="A9" s="1"/>
      <c r="B9" s="85" t="s">
        <v>129</v>
      </c>
      <c r="C9" s="86"/>
      <c r="D9" s="87"/>
      <c r="E9" s="9">
        <f>SUM(E7:E8)</f>
        <v>911857.57526666671</v>
      </c>
      <c r="F9" s="15" t="s">
        <v>3</v>
      </c>
      <c r="G9" s="1"/>
    </row>
    <row r="10" spans="1:7" ht="15" customHeight="1" x14ac:dyDescent="0.25">
      <c r="A10" s="1"/>
      <c r="B10" s="79"/>
      <c r="C10" s="80"/>
      <c r="D10" s="80"/>
      <c r="E10" s="80"/>
      <c r="F10" s="81"/>
      <c r="G10" s="1"/>
    </row>
    <row r="11" spans="1:7" ht="27" customHeight="1" x14ac:dyDescent="0.25">
      <c r="A11" s="1"/>
      <c r="B11" s="70" t="s">
        <v>113</v>
      </c>
      <c r="C11" s="70"/>
      <c r="D11" s="70"/>
      <c r="E11" s="70"/>
      <c r="F11" s="70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2" t="s">
        <v>99</v>
      </c>
      <c r="C14" s="82"/>
      <c r="D14" s="82"/>
      <c r="E14" s="82"/>
      <c r="F14" s="82"/>
      <c r="G14" s="1"/>
    </row>
    <row r="15" spans="1:7" x14ac:dyDescent="0.25">
      <c r="A15" s="1"/>
      <c r="B15" s="83" t="s">
        <v>100</v>
      </c>
      <c r="C15" s="83"/>
      <c r="D15" s="83"/>
      <c r="E15" s="8">
        <v>7243306.5885897893</v>
      </c>
      <c r="F15" s="12" t="s">
        <v>3</v>
      </c>
      <c r="G15" s="1"/>
    </row>
    <row r="16" spans="1:7" x14ac:dyDescent="0.25">
      <c r="A16" s="1"/>
      <c r="B16" s="83" t="s">
        <v>101</v>
      </c>
      <c r="C16" s="83"/>
      <c r="D16" s="83"/>
      <c r="E16" s="8">
        <v>3892180</v>
      </c>
      <c r="F16" s="12" t="s">
        <v>3</v>
      </c>
      <c r="G16" s="1"/>
    </row>
    <row r="17" spans="1:7" x14ac:dyDescent="0.25">
      <c r="A17" s="1"/>
      <c r="B17" s="83" t="s">
        <v>44</v>
      </c>
      <c r="C17" s="83"/>
      <c r="D17" s="83"/>
      <c r="E17" s="8">
        <v>0</v>
      </c>
      <c r="F17" s="12" t="s">
        <v>3</v>
      </c>
      <c r="G17" s="1"/>
    </row>
    <row r="18" spans="1:7" x14ac:dyDescent="0.25">
      <c r="A18" s="1"/>
      <c r="B18" s="84" t="s">
        <v>130</v>
      </c>
      <c r="C18" s="84"/>
      <c r="D18" s="84"/>
      <c r="E18" s="9">
        <f>E15-(E16-E17)</f>
        <v>3351126.5885897893</v>
      </c>
      <c r="F18" s="15" t="s">
        <v>3</v>
      </c>
      <c r="G18" s="1"/>
    </row>
    <row r="19" spans="1:7" x14ac:dyDescent="0.25">
      <c r="A19" s="1"/>
      <c r="B19" s="88"/>
      <c r="C19" s="89"/>
      <c r="D19" s="89"/>
      <c r="E19" s="89"/>
      <c r="F19" s="90"/>
      <c r="G19" s="1"/>
    </row>
    <row r="20" spans="1:7" ht="28.5" customHeight="1" x14ac:dyDescent="0.25">
      <c r="A20" s="1"/>
      <c r="B20" s="70" t="s">
        <v>112</v>
      </c>
      <c r="C20" s="70"/>
      <c r="D20" s="70"/>
      <c r="E20" s="70"/>
      <c r="F20" s="70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2" t="s">
        <v>66</v>
      </c>
      <c r="C23" s="82"/>
      <c r="D23" s="82"/>
      <c r="E23" s="82"/>
      <c r="F23" s="82"/>
      <c r="G23" s="1"/>
    </row>
    <row r="24" spans="1:7" x14ac:dyDescent="0.25">
      <c r="A24" s="1"/>
      <c r="B24" s="83" t="s">
        <v>67</v>
      </c>
      <c r="C24" s="83"/>
      <c r="D24" s="83"/>
      <c r="E24" s="8">
        <v>7125027.447428341</v>
      </c>
      <c r="F24" s="12" t="s">
        <v>3</v>
      </c>
      <c r="G24" s="1"/>
    </row>
    <row r="25" spans="1:7" x14ac:dyDescent="0.25">
      <c r="A25" s="1"/>
      <c r="B25" s="83" t="s">
        <v>68</v>
      </c>
      <c r="C25" s="83"/>
      <c r="D25" s="83"/>
      <c r="E25" s="8">
        <v>4093663</v>
      </c>
      <c r="F25" s="12" t="s">
        <v>3</v>
      </c>
      <c r="G25" s="1"/>
    </row>
    <row r="26" spans="1:7" x14ac:dyDescent="0.25">
      <c r="A26" s="1"/>
      <c r="B26" s="83" t="s">
        <v>44</v>
      </c>
      <c r="C26" s="83"/>
      <c r="D26" s="83"/>
      <c r="E26" s="8">
        <v>0</v>
      </c>
      <c r="F26" s="12" t="s">
        <v>3</v>
      </c>
      <c r="G26" s="1"/>
    </row>
    <row r="27" spans="1:7" x14ac:dyDescent="0.25">
      <c r="A27" s="1"/>
      <c r="B27" s="84" t="s">
        <v>130</v>
      </c>
      <c r="C27" s="84"/>
      <c r="D27" s="84"/>
      <c r="E27" s="9">
        <f>E24-(E25-E26)</f>
        <v>3031364.447428341</v>
      </c>
      <c r="F27" s="15" t="s">
        <v>3</v>
      </c>
      <c r="G27" s="1"/>
    </row>
    <row r="28" spans="1:7" x14ac:dyDescent="0.25">
      <c r="A28" s="1"/>
      <c r="B28" s="79"/>
      <c r="C28" s="80"/>
      <c r="D28" s="80"/>
      <c r="E28" s="80"/>
      <c r="F28" s="8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2" t="s">
        <v>114</v>
      </c>
      <c r="C31" s="82"/>
      <c r="D31" s="82"/>
      <c r="E31" s="82"/>
      <c r="F31" s="82"/>
      <c r="G31" s="1"/>
    </row>
    <row r="32" spans="1:7" x14ac:dyDescent="0.25">
      <c r="A32" s="1"/>
      <c r="B32" s="76" t="s">
        <v>47</v>
      </c>
      <c r="C32" s="76"/>
      <c r="D32" s="76"/>
      <c r="E32" s="8">
        <f>E9</f>
        <v>911857.57526666671</v>
      </c>
      <c r="F32" s="12" t="s">
        <v>3</v>
      </c>
      <c r="G32" s="1"/>
    </row>
    <row r="33" spans="1:7" x14ac:dyDescent="0.25">
      <c r="A33" s="1"/>
      <c r="B33" s="76" t="s">
        <v>128</v>
      </c>
      <c r="C33" s="76"/>
      <c r="D33" s="76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6" t="s">
        <v>122</v>
      </c>
      <c r="C34" s="76"/>
      <c r="D34" s="76"/>
      <c r="E34" s="8">
        <v>4</v>
      </c>
      <c r="F34" s="12" t="s">
        <v>27</v>
      </c>
      <c r="G34" s="1"/>
    </row>
    <row r="35" spans="1:7" x14ac:dyDescent="0.25">
      <c r="A35" s="1"/>
      <c r="B35" s="84" t="s">
        <v>151</v>
      </c>
      <c r="C35" s="84"/>
      <c r="D35" s="84"/>
      <c r="E35" s="9">
        <f>SUM(E32:E33)/E34</f>
        <v>227964.39381666668</v>
      </c>
      <c r="F35" s="15" t="s">
        <v>3</v>
      </c>
      <c r="G35" s="1"/>
    </row>
    <row r="36" spans="1:7" x14ac:dyDescent="0.25">
      <c r="A36" s="1"/>
      <c r="B36" s="82"/>
      <c r="C36" s="82"/>
      <c r="D36" s="82"/>
      <c r="E36" s="82"/>
      <c r="F36" s="82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1xrbyiLaBjzzDPDN8TdHmNMxCSFNKMeZmgceaz9PWVgLJYCFaw1uFNQJfuVGZfbxhF6KAgT1/uSXVjmU9CCVDw==" saltValue="aFcVicOkSN9reFIoZnSIXQ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3" t="s">
        <v>152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2" t="s">
        <v>94</v>
      </c>
      <c r="C8" s="82"/>
      <c r="D8" s="82"/>
      <c r="E8" s="82"/>
      <c r="F8" s="82"/>
      <c r="G8" s="1"/>
    </row>
    <row r="9" spans="1:7" ht="28.5" customHeight="1" x14ac:dyDescent="0.25">
      <c r="A9" s="1"/>
      <c r="B9" s="71" t="s">
        <v>98</v>
      </c>
      <c r="C9" s="71"/>
      <c r="D9" s="71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8" t="s">
        <v>3</v>
      </c>
      <c r="G9" s="1"/>
    </row>
    <row r="10" spans="1:7" x14ac:dyDescent="0.25">
      <c r="A10" s="1"/>
      <c r="B10" s="44" t="s">
        <v>109</v>
      </c>
      <c r="C10" s="44"/>
      <c r="D10" s="44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S/mcl3aSDCp59tyCCTtc6cevtbOgRM2tfx0Qs7u6fggONzysByB7uaTVky39/VM0LnRfMMgeBYkaGi7B0UUZrA==" saltValue="b5plLn9C4K/EA/jZXcont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2019-10-07T12:44:21Z</dcterms:modified>
</cp:coreProperties>
</file>