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Lillerød Andelsvandværk a.m.b.a. (V123)\ØR2020\"/>
    </mc:Choice>
  </mc:AlternateContent>
  <bookViews>
    <workbookView xWindow="3105" yWindow="990" windowWidth="12735" windowHeight="4620" tabRatio="855"/>
  </bookViews>
  <sheets>
    <sheet name="1. Forside" sheetId="1" r:id="rId1"/>
    <sheet name="Fane 2.1. Økonomisk ramme 2020" sheetId="2" r:id="rId2"/>
    <sheet name="Fane 2.2. Økonomisk ramme 2021" sheetId="15" r:id="rId3"/>
    <sheet name="Fane 2.3. Økonomisk ramme 2022" sheetId="22" r:id="rId4"/>
    <sheet name="Fane 2.4. Økonomisk ramme 2023" sheetId="23" r:id="rId5"/>
    <sheet name="Fane 3. Omkostninger i ØR2019" sheetId="27" r:id="rId6"/>
    <sheet name="Fane 4. Ikke-påvirkelige omk." sheetId="19" r:id="rId7"/>
    <sheet name="Fane 5. Kontrol af ØR2018" sheetId="32" r:id="rId8"/>
    <sheet name="Fane 6. Korrektioner" sheetId="40" r:id="rId9"/>
    <sheet name="Fane 7. Anlægsprojekter" sheetId="11" r:id="rId10"/>
    <sheet name="Fane 8.1. Varige tillæg" sheetId="37" r:id="rId11"/>
    <sheet name="Fane 8.2. Engangstillæg" sheetId="39" r:id="rId12"/>
    <sheet name="Fane 9. Tilknyttet aktivitet" sheetId="29" r:id="rId13"/>
    <sheet name="Fane 10. Bortfald" sheetId="21" r:id="rId14"/>
    <sheet name="Fane 11. Hist. over-underdæk." sheetId="10" r:id="rId15"/>
    <sheet name="Fane 12. Nøgletal" sheetId="26" r:id="rId16"/>
  </sheets>
  <calcPr calcId="162913"/>
</workbook>
</file>

<file path=xl/calcChain.xml><?xml version="1.0" encoding="utf-8"?>
<calcChain xmlns="http://schemas.openxmlformats.org/spreadsheetml/2006/main">
  <c r="E9" i="40" l="1"/>
  <c r="E11" i="2" l="1"/>
  <c r="E10" i="2"/>
  <c r="E10" i="40" l="1"/>
  <c r="E27" i="2" l="1"/>
  <c r="E9" i="32" l="1"/>
  <c r="E32" i="32" s="1"/>
  <c r="E18" i="32" l="1"/>
  <c r="E29" i="21" l="1"/>
  <c r="E30" i="21" s="1"/>
  <c r="C29" i="21"/>
  <c r="C30" i="21" s="1"/>
  <c r="E23" i="21"/>
  <c r="E24" i="21" s="1"/>
  <c r="C23" i="21"/>
  <c r="C24" i="21" s="1"/>
  <c r="E17" i="21"/>
  <c r="E18" i="21" s="1"/>
  <c r="C17" i="21"/>
  <c r="C18" i="21" s="1"/>
  <c r="E9" i="23" l="1"/>
  <c r="E11" i="15"/>
  <c r="E9" i="22"/>
  <c r="E32" i="39"/>
  <c r="E33" i="39" s="1"/>
  <c r="C32" i="39"/>
  <c r="C33" i="39" s="1"/>
  <c r="E25" i="39"/>
  <c r="E26" i="39" s="1"/>
  <c r="C25" i="39"/>
  <c r="C26" i="39" s="1"/>
  <c r="E18" i="39"/>
  <c r="E19" i="39" s="1"/>
  <c r="C18" i="39"/>
  <c r="C19" i="39" s="1"/>
  <c r="E11" i="39"/>
  <c r="E12" i="39" s="1"/>
  <c r="C11" i="39"/>
  <c r="C12" i="39" s="1"/>
  <c r="C34" i="39" l="1"/>
  <c r="E16" i="23" s="1"/>
  <c r="E34" i="39"/>
  <c r="E17" i="23" s="1"/>
  <c r="C27" i="39"/>
  <c r="E16" i="22" s="1"/>
  <c r="E27" i="39"/>
  <c r="E17" i="22" s="1"/>
  <c r="E20" i="39"/>
  <c r="E19" i="15" s="1"/>
  <c r="C20" i="39"/>
  <c r="E18" i="15" s="1"/>
  <c r="E18" i="23" l="1"/>
  <c r="E13" i="39"/>
  <c r="E22" i="2" s="1"/>
  <c r="E18" i="22"/>
  <c r="C13" i="39"/>
  <c r="E21" i="2" s="1"/>
  <c r="G12" i="10"/>
  <c r="G14" i="10" s="1"/>
  <c r="E20" i="15" l="1"/>
  <c r="E23" i="2"/>
  <c r="E13" i="27" l="1"/>
  <c r="E14" i="27" l="1"/>
  <c r="E15" i="27" s="1"/>
  <c r="E22" i="27" l="1"/>
  <c r="E9" i="2"/>
  <c r="E27" i="32"/>
  <c r="E33" i="32" s="1"/>
  <c r="E35" i="32" s="1"/>
  <c r="E22" i="15" l="1"/>
  <c r="E20" i="22" s="1"/>
  <c r="E20" i="23" l="1"/>
  <c r="F11" i="11"/>
  <c r="C10" i="37" s="1"/>
  <c r="C11" i="37" s="1"/>
  <c r="C12" i="37" s="1"/>
  <c r="G11" i="11"/>
  <c r="E11" i="21" l="1"/>
  <c r="C11" i="21"/>
  <c r="E11" i="29"/>
  <c r="C11" i="29"/>
  <c r="C12" i="19"/>
  <c r="C13" i="19" s="1"/>
  <c r="E14" i="23" l="1"/>
  <c r="E19" i="2"/>
  <c r="E14" i="22"/>
  <c r="E16" i="15"/>
  <c r="C12" i="21"/>
  <c r="E12" i="21"/>
  <c r="C12" i="29"/>
  <c r="E12" i="29"/>
  <c r="E14" i="2" l="1"/>
  <c r="E13" i="2"/>
  <c r="E11" i="11" l="1"/>
  <c r="E10" i="37" s="1"/>
  <c r="E11" i="37" s="1"/>
  <c r="E12" i="37" s="1"/>
  <c r="E12" i="2" s="1"/>
  <c r="E15" i="2" s="1"/>
  <c r="E25" i="2"/>
  <c r="E16" i="2" l="1"/>
  <c r="E17" i="2" s="1"/>
  <c r="E28" i="2" s="1"/>
  <c r="E9" i="15" l="1"/>
  <c r="E12" i="15" s="1"/>
  <c r="E13" i="15" s="1"/>
  <c r="E14" i="15" l="1"/>
  <c r="E23" i="15" s="1"/>
  <c r="E8" i="22" l="1"/>
  <c r="E10" i="22" s="1"/>
  <c r="E11" i="22" l="1"/>
  <c r="E12" i="22" s="1"/>
  <c r="E21" i="22" s="1"/>
  <c r="E8" i="23" l="1"/>
  <c r="E10" i="23" s="1"/>
  <c r="E11" i="23" l="1"/>
  <c r="E12" i="23" s="1"/>
  <c r="E21" i="23" s="1"/>
</calcChain>
</file>

<file path=xl/sharedStrings.xml><?xml version="1.0" encoding="utf-8"?>
<sst xmlns="http://schemas.openxmlformats.org/spreadsheetml/2006/main" count="420" uniqueCount="162">
  <si>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</si>
  <si>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</si>
  <si>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</si>
  <si>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</si>
  <si>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</si>
  <si>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</si>
  <si>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</si>
  <si>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4</t>
  </si>
  <si>
    <t>Fane 5</t>
  </si>
  <si>
    <t>Fane 9</t>
  </si>
  <si>
    <t>Historisk over- eller underdækning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</si>
  <si>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</si>
  <si>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</si>
  <si>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</si>
  <si>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</si>
  <si>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</si>
  <si>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</si>
  <si>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</si>
  <si>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</si>
  <si>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</si>
  <si>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Prisudvikling</t>
  </si>
  <si>
    <t>Fane 12</t>
  </si>
  <si>
    <t>Fane 2.2</t>
  </si>
  <si>
    <t>Økonomisk ramme for 2019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</si>
  <si>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</si>
  <si>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</si>
  <si>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</si>
  <si>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</si>
  <si>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</si>
  <si>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</si>
  <si>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ØR2018</t>
  </si>
  <si>
    <t>Prisudvikling til brug for nye omkostninger i ØR2019</t>
  </si>
  <si>
    <t>Tilknyttet aktivitet under hovedvirksomheden</t>
  </si>
  <si>
    <t>Beskrivelse af tilknyttet aktivitet</t>
  </si>
  <si>
    <t>Tilknyttet aktivitet under hovedvirksomheden i alt (2018-prisniveau)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</si>
  <si>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</si>
  <si>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</si>
  <si>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</si>
  <si>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</si>
  <si>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</si>
  <si>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</si>
  <si>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</si>
  <si>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</si>
  <si>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</si>
  <si>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</si>
  <si>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Korrektion af budgetterede omkostninger i prisloft 2016</t>
  </si>
  <si>
    <t>Kontrol for overholdelse af indtægtsrammen i prisloft 2016</t>
  </si>
  <si>
    <t>Korrektion og kontrol med prisloft 2016</t>
  </si>
  <si>
    <t>Fane 2.3</t>
  </si>
  <si>
    <t>Samlet økonomisk ramme for 2020</t>
  </si>
  <si>
    <t>Fane 2.4</t>
  </si>
  <si>
    <t>Anlægsprojekter</t>
  </si>
  <si>
    <t>Tilknyttet aktivitet</t>
  </si>
  <si>
    <t>Bortfald</t>
  </si>
  <si>
    <t>Nye tillæg i alt i 2018-prisniveau</t>
  </si>
  <si>
    <t>Bortfald eller nedsættelse i alt i 2018-prisniveau</t>
  </si>
  <si>
    <t>Fane 2.1: Samlet økonomisk ramme for 2020</t>
  </si>
  <si>
    <t>Omkostninger i ØR2019</t>
  </si>
  <si>
    <t>Faktiske ikke-påvirkelige omkostninger i 2018</t>
  </si>
  <si>
    <t>Faktiske omkostninger i 2018</t>
  </si>
  <si>
    <t>Ikke-påvirkelige omkostninger i 2018-prisniveau</t>
  </si>
  <si>
    <t>Ikke-påvirkelige omkostninger i 2020-prisniveau</t>
  </si>
  <si>
    <t>Prisudvikling til brug for nye omkostninger i ØR2020</t>
  </si>
  <si>
    <t>Nye tillæg i alt i 2019-prisniveau</t>
  </si>
  <si>
    <t>Bortfald eller nedsættelse i alt i 2019-prisniveau</t>
  </si>
  <si>
    <t>Tilknyttet aktivitet under hovedvirksomheden i alt (2019-prisniveau)</t>
  </si>
  <si>
    <t>Kontrol med overholdelse af den økonomiske ramme for 2018</t>
  </si>
  <si>
    <t>Indtægtsramme i den økonomiske ramme for 2018</t>
  </si>
  <si>
    <t>Faktiske indtægter i 2018</t>
  </si>
  <si>
    <t>Heraf beløb indregnet i prislofterne/de økonomiske rammer for 2011-2019</t>
  </si>
  <si>
    <t>Videreførte omkostninger fra den økonomiske ramme for 2018</t>
  </si>
  <si>
    <t>Korrektion af den økonomiske ramme for 2018</t>
  </si>
  <si>
    <t>Oversigt over den økonomiske ramme for 2019</t>
  </si>
  <si>
    <t>Fane 2.2: Samlet økonomisk ramme for 2021</t>
  </si>
  <si>
    <t>Samlet korrektion af budgetterede omkostninger i de økonomiske rammer for 2017 og 2018</t>
  </si>
  <si>
    <t>Vejledende økonomisk ramme for 2022</t>
  </si>
  <si>
    <t>Vejledende økonomisk ramme for 2023</t>
  </si>
  <si>
    <t>Over- eller underdækning tillagt senere end 31. december 2010</t>
  </si>
  <si>
    <t>Tillæg/fradrag til den økonomiske ramme for 2020 i alt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</si>
  <si>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</si>
  <si>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</si>
  <si>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</si>
  <si>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</si>
  <si>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</si>
  <si>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</si>
  <si>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Engangstillæg i alt</t>
  </si>
  <si>
    <t>Bortfald eller nedsættelse i alt i 2020-prisniveau</t>
  </si>
  <si>
    <t>Bortfald eller nedsættelse i alt i 2021-prisniveau</t>
  </si>
  <si>
    <t>Bortfald eller nedsættelse i alt i 2022-prisniveau</t>
  </si>
  <si>
    <t>Økonomisk ramme for 2023</t>
  </si>
  <si>
    <t>Bortfald eller nedsættelse fra og med de økonomiske rammer for 2022</t>
  </si>
  <si>
    <t>Bortfald eller nedsættelse fra og med de økonomiske rammer for 2020</t>
  </si>
  <si>
    <t>Bortfald eller nedsættelse fra og med de økonomiske rammer for 2021</t>
  </si>
  <si>
    <t>Bortfald eller nedsættelse fra og med de økonomiske rammer for 2023</t>
  </si>
  <si>
    <t>Andre korrektioner</t>
  </si>
  <si>
    <t>Kontrol med overholdelse af indtægtsrammer</t>
  </si>
  <si>
    <t>Fane 10</t>
  </si>
  <si>
    <t>Kontrol af den økonomiske ramme for 2018</t>
  </si>
  <si>
    <t>Korrektion af forkert prisfremskrivning af kontrol og korrektioner i de økonomiske rammer for 2019</t>
  </si>
  <si>
    <t>Kontrol med overholdelse af den økonomiske ramme for 2017</t>
  </si>
  <si>
    <t>Indtægtsramme i den økonomiske ramme for 2017</t>
  </si>
  <si>
    <t>Faktiske indtægter i 2017</t>
  </si>
  <si>
    <t>Engangstillæg til de økonomiske rammer for 2020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</si>
  <si>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</si>
  <si>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</si>
  <si>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</si>
  <si>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2018-prisniveau</t>
  </si>
  <si>
    <t>Engangstillæg i alt i 2020-prisniveau</t>
  </si>
  <si>
    <t>Engangstillæg i alt i 2021-prisniveau</t>
  </si>
  <si>
    <t>Korrektioner af den økonomiske ramme for 2018 i alt</t>
  </si>
  <si>
    <t>Fane 4: Ikke-påvirkelige omkostninger</t>
  </si>
  <si>
    <t>Tidligere tilknyttet aktivitet</t>
  </si>
  <si>
    <t xml:space="preserve">Note: Denne opgørelse er taget fra jeres statusmeddelelse for den økonomiske ramme for 2019. I kan derfor ikke komme med høringssvar til denne opgørelse. </t>
  </si>
  <si>
    <t xml:space="preserve">Note: Denne opgørelse er taget fra jeres statusmeddelelse for den økonomiske ramme for 2018. I kan derfor ikke komme med høringssvar til denne opgørelse. </t>
  </si>
  <si>
    <t>Til indregning i de økonomiske rammer for 2021-2024</t>
  </si>
  <si>
    <t>Effektiviseringskrav</t>
  </si>
  <si>
    <t xml:space="preserve">Til statusmeddelelse for 2020 </t>
  </si>
  <si>
    <t>Vejledende økonomisk ramme for 2021</t>
  </si>
  <si>
    <t xml:space="preserve">Note: Denne opgørelse er taget fra jeres afgørelse for den økonomiske ramme for 2019. I kan derfor ikke komme med høringssvar til denne opgørelse. </t>
  </si>
  <si>
    <t>Fane 5: Kontrol med overholdelse af den økonomiske ramme for 2018</t>
  </si>
  <si>
    <t>Fane 8.1: Varige tillæg</t>
  </si>
  <si>
    <t>Fane 8.2: Engangstillæg</t>
  </si>
  <si>
    <t>Antal år i næste reguleringsperiode</t>
  </si>
  <si>
    <t>Fane 6</t>
  </si>
  <si>
    <t>Fane 8.1</t>
  </si>
  <si>
    <t>Fane 8.2</t>
  </si>
  <si>
    <t>Fane 11</t>
  </si>
  <si>
    <t>Nøgletal</t>
  </si>
  <si>
    <t>Korrektion og kontrol med de økonomiske rammer for 2017 og 2018</t>
  </si>
  <si>
    <t>Korrektion og kontrol med prisloft 2016 i alt</t>
  </si>
  <si>
    <t xml:space="preserve">Difference </t>
  </si>
  <si>
    <t>Tillæg/fradrag for korrektion og kontrol af indtægtsrammer</t>
  </si>
  <si>
    <t>Prisudvikling til brug for ØR2017-2020</t>
  </si>
  <si>
    <t xml:space="preserve">Effektiviseringskrav </t>
  </si>
  <si>
    <t>Fane 9: Tilknyttet aktivitet under hovedvirksomheden</t>
  </si>
  <si>
    <t>Fane 10: Bortfald eller nedsættelse af omkostninger til mål, medfinansiering eller udvidelse</t>
  </si>
  <si>
    <t>Fane 11: Historisk over- eller underdækning</t>
  </si>
  <si>
    <t>Fane 12: Nøgletal</t>
  </si>
  <si>
    <t>Fane 3: Videreførte omkostninger fra den økonomiske ramme for 2019</t>
  </si>
  <si>
    <t>Fane 3</t>
  </si>
  <si>
    <t xml:space="preserve"> - Heraf nye omkostninger i ØR18</t>
  </si>
  <si>
    <t>Nye tillæg</t>
  </si>
  <si>
    <t xml:space="preserve">Bortfald eller nedsættelse af omkostninger </t>
  </si>
  <si>
    <t xml:space="preserve"> - Heraf nye omkostninger i ØR19</t>
  </si>
  <si>
    <t>Bortfald eller nedsættelse af omkostninger</t>
  </si>
  <si>
    <t>Fane 2.4: Samlet økonomisk ramme for 2023</t>
  </si>
  <si>
    <t>Fane 2.3: Samlet økonomisk ramme for 2022</t>
  </si>
  <si>
    <t>Afgift for ledningsført vand</t>
  </si>
  <si>
    <t>Afgift til Forsyningssekretariatet</t>
  </si>
  <si>
    <t>Ingen engangstillæg</t>
  </si>
  <si>
    <t>Korrektion af tidligere rammer</t>
  </si>
  <si>
    <t>Tillæg/fradrag for korrektion af tidligere rammer</t>
  </si>
  <si>
    <t>Tillæg/fradrag i de økonomiske rammer for 2021-2024 i alt</t>
  </si>
  <si>
    <t>Fane 6: Korrektion af tidligere rammer</t>
  </si>
  <si>
    <t>Fane 7: Anlægsprojekter igangsat senest den 1. marts 2016</t>
  </si>
  <si>
    <t>Anlægsprojekter igangsat senest den 1. marts 2016</t>
  </si>
  <si>
    <t>Anlægsprojekter igangsat senest den 1. marts 2016 i alt</t>
  </si>
  <si>
    <t>Ingen tilknyttet aktivitet</t>
  </si>
  <si>
    <t>Ingen bortfald eller nedsættelse</t>
  </si>
  <si>
    <t>Ingen anlægsprojekter</t>
  </si>
  <si>
    <t>Anlægsprojekter igangsat senest 1. marts 2016</t>
  </si>
  <si>
    <t>Korrektion af grundlag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</si>
</sst>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99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3" fontId="10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0" fontId="8" fillId="4" borderId="2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49" fontId="8" fillId="8" borderId="2" xfId="0" applyNumberFormat="1" applyFont="1" applyFill="1" applyBorder="1" applyAlignment="1" applyProtection="1"/>
    <xf numFmtId="10" fontId="8" fillId="8" borderId="1" xfId="3" applyNumberFormat="1" applyFont="1" applyFill="1" applyBorder="1" applyAlignment="1" applyProtection="1"/>
    <xf numFmtId="0" fontId="7" fillId="3" borderId="6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16" fillId="0" borderId="2" xfId="0" applyFont="1" applyFill="1" applyBorder="1" applyAlignment="1" applyProtection="1"/>
    <xf numFmtId="3" fontId="16" fillId="0" borderId="1" xfId="0" applyNumberFormat="1" applyFont="1" applyFill="1" applyBorder="1" applyProtection="1"/>
    <xf numFmtId="0" fontId="16" fillId="0" borderId="1" xfId="0" applyFont="1" applyFill="1" applyBorder="1" applyProtection="1"/>
    <xf numFmtId="0" fontId="8" fillId="8" borderId="2" xfId="0" applyFont="1" applyFill="1" applyBorder="1" applyAlignment="1" applyProtection="1"/>
    <xf numFmtId="0" fontId="8" fillId="8" borderId="1" xfId="0" quotePrefix="1" applyFont="1" applyFill="1" applyBorder="1" applyAlignment="1" applyProtection="1">
      <alignment horizontal="left" wrapText="1"/>
    </xf>
    <xf numFmtId="0" fontId="8" fillId="8" borderId="1" xfId="0" applyFont="1" applyFill="1" applyBorder="1" applyAlignment="1" applyProtection="1"/>
    <xf numFmtId="10" fontId="8" fillId="0" borderId="3" xfId="3" applyNumberFormat="1" applyFont="1" applyFill="1" applyBorder="1" applyAlignment="1" applyProtection="1"/>
    <xf numFmtId="49" fontId="8" fillId="8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1" xfId="0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  <xf numFmtId="0" fontId="1" fillId="3" borderId="4" xfId="1" applyFont="1" applyFill="1" applyBorder="1" applyAlignment="1" applyProtection="1">
      <alignment horizontal="center"/>
    </xf>
    <xf numFmtId="0" fontId="1" fillId="3" borderId="0" xfId="1" applyFont="1" applyFill="1" applyBorder="1" applyAlignment="1" applyProtection="1">
      <alignment horizontal="center"/>
    </xf>
    <xf numFmtId="0" fontId="1" fillId="3" borderId="5" xfId="1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" fillId="7" borderId="4" xfId="1" applyFont="1" applyFill="1" applyBorder="1" applyAlignment="1" applyProtection="1">
      <alignment horizontal="center"/>
    </xf>
    <xf numFmtId="0" fontId="1" fillId="7" borderId="0" xfId="1" applyFont="1" applyFill="1" applyBorder="1" applyAlignment="1" applyProtection="1">
      <alignment horizontal="center"/>
    </xf>
    <xf numFmtId="0" fontId="1" fillId="7" borderId="5" xfId="1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9" borderId="4" xfId="1" applyFont="1" applyFill="1" applyBorder="1" applyAlignment="1" applyProtection="1">
      <alignment horizontal="center"/>
    </xf>
    <xf numFmtId="0" fontId="1" fillId="9" borderId="0" xfId="1" applyFont="1" applyFill="1" applyBorder="1" applyAlignment="1" applyProtection="1">
      <alignment horizontal="center"/>
    </xf>
    <xf numFmtId="0" fontId="1" fillId="9" borderId="5" xfId="1" applyFont="1" applyFill="1" applyBorder="1" applyAlignment="1" applyProtection="1">
      <alignment horizontal="center"/>
    </xf>
    <xf numFmtId="0" fontId="13" fillId="5" borderId="4" xfId="1" applyFont="1" applyFill="1" applyBorder="1" applyAlignment="1" applyProtection="1">
      <alignment horizontal="center"/>
    </xf>
    <xf numFmtId="0" fontId="13" fillId="5" borderId="0" xfId="1" applyFont="1" applyFill="1" applyBorder="1" applyAlignment="1" applyProtection="1">
      <alignment horizontal="center"/>
    </xf>
    <xf numFmtId="0" fontId="13" fillId="5" borderId="5" xfId="1" applyFont="1" applyFill="1" applyBorder="1" applyAlignment="1" applyProtection="1">
      <alignment horizontal="center"/>
    </xf>
    <xf numFmtId="0" fontId="13" fillId="6" borderId="4" xfId="1" applyFont="1" applyFill="1" applyBorder="1" applyAlignment="1" applyProtection="1">
      <alignment horizontal="center"/>
    </xf>
    <xf numFmtId="0" fontId="13" fillId="6" borderId="0" xfId="1" applyFont="1" applyFill="1" applyBorder="1" applyAlignment="1" applyProtection="1">
      <alignment horizontal="center"/>
    </xf>
    <xf numFmtId="0" fontId="13" fillId="6" borderId="5" xfId="1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8" fillId="8" borderId="1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1" xfId="0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7" fillId="3" borderId="1" xfId="0" applyFont="1" applyFill="1" applyBorder="1" applyAlignment="1" applyProtection="1">
      <alignment horizontal="left"/>
    </xf>
    <xf numFmtId="0" fontId="8" fillId="8" borderId="1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10" fillId="4" borderId="2" xfId="0" applyFont="1" applyFill="1" applyBorder="1" applyAlignment="1" applyProtection="1">
      <alignment horizontal="left"/>
    </xf>
    <xf numFmtId="0" fontId="10" fillId="4" borderId="6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</cellXfs>
  <cellStyles count="4">
    <cellStyle name="Link" xfId="1" builtinId="8"/>
    <cellStyle name="Normal" xfId="0" builtinId="0"/>
    <cellStyle name="Normal 12" xfId="2"/>
    <cellStyle name="Procent" xfId="3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7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51" t="s">
        <v>4</v>
      </c>
      <c r="E6" s="51"/>
      <c r="F6" s="51"/>
      <c r="G6" s="51"/>
      <c r="H6" s="3"/>
      <c r="I6" s="1"/>
    </row>
    <row r="7" spans="1:9" ht="15" customHeight="1" x14ac:dyDescent="0.25">
      <c r="A7" s="1"/>
      <c r="B7" s="1"/>
      <c r="C7" s="3"/>
      <c r="D7" s="51"/>
      <c r="E7" s="51"/>
      <c r="F7" s="51"/>
      <c r="G7" s="51"/>
      <c r="H7" s="3"/>
      <c r="I7" s="1"/>
    </row>
    <row r="8" spans="1:9" ht="15.75" x14ac:dyDescent="0.25">
      <c r="A8" s="1"/>
      <c r="B8" s="1"/>
      <c r="C8" s="4"/>
      <c r="D8" s="56" t="s">
        <v>116</v>
      </c>
      <c r="E8" s="56"/>
      <c r="F8" s="56"/>
      <c r="G8" s="56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55" t="s">
        <v>5</v>
      </c>
      <c r="E11" s="55"/>
      <c r="F11" s="55"/>
      <c r="G11" s="55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48" t="s">
        <v>49</v>
      </c>
      <c r="E13" s="49"/>
      <c r="F13" s="49"/>
      <c r="G13" s="50"/>
      <c r="H13" s="1"/>
      <c r="I13" s="1"/>
    </row>
    <row r="14" spans="1:9" x14ac:dyDescent="0.25">
      <c r="A14" s="1"/>
      <c r="B14" s="1"/>
      <c r="C14" s="6" t="s">
        <v>22</v>
      </c>
      <c r="D14" s="48" t="s">
        <v>117</v>
      </c>
      <c r="E14" s="49"/>
      <c r="F14" s="49"/>
      <c r="G14" s="50"/>
      <c r="H14" s="1"/>
      <c r="I14" s="1"/>
    </row>
    <row r="15" spans="1:9" x14ac:dyDescent="0.25">
      <c r="A15" s="1"/>
      <c r="B15" s="1"/>
      <c r="C15" s="6" t="s">
        <v>48</v>
      </c>
      <c r="D15" s="48" t="s">
        <v>75</v>
      </c>
      <c r="E15" s="49"/>
      <c r="F15" s="49"/>
      <c r="G15" s="50"/>
      <c r="H15" s="1"/>
      <c r="I15" s="1"/>
    </row>
    <row r="16" spans="1:9" x14ac:dyDescent="0.25">
      <c r="A16" s="1"/>
      <c r="B16" s="1"/>
      <c r="C16" s="6" t="s">
        <v>50</v>
      </c>
      <c r="D16" s="48" t="s">
        <v>76</v>
      </c>
      <c r="E16" s="49"/>
      <c r="F16" s="49"/>
      <c r="G16" s="50"/>
      <c r="H16" s="1"/>
      <c r="I16" s="1"/>
    </row>
    <row r="17" spans="1:9" x14ac:dyDescent="0.25">
      <c r="A17" s="1"/>
      <c r="B17" s="1"/>
      <c r="C17" s="6" t="s">
        <v>139</v>
      </c>
      <c r="D17" s="48" t="s">
        <v>57</v>
      </c>
      <c r="E17" s="49"/>
      <c r="F17" s="49"/>
      <c r="G17" s="50"/>
      <c r="H17" s="1"/>
      <c r="I17" s="1"/>
    </row>
    <row r="18" spans="1:9" x14ac:dyDescent="0.25">
      <c r="A18" s="1"/>
      <c r="B18" s="1"/>
      <c r="C18" s="6" t="s">
        <v>7</v>
      </c>
      <c r="D18" s="60" t="s">
        <v>16</v>
      </c>
      <c r="E18" s="61"/>
      <c r="F18" s="61"/>
      <c r="G18" s="62"/>
      <c r="H18" s="1"/>
      <c r="I18" s="1"/>
    </row>
    <row r="19" spans="1:9" x14ac:dyDescent="0.25">
      <c r="A19" s="1"/>
      <c r="B19" s="1"/>
      <c r="C19" s="6" t="s">
        <v>8</v>
      </c>
      <c r="D19" s="52" t="s">
        <v>97</v>
      </c>
      <c r="E19" s="53"/>
      <c r="F19" s="53"/>
      <c r="G19" s="54"/>
      <c r="H19" s="1"/>
      <c r="I19" s="1"/>
    </row>
    <row r="20" spans="1:9" x14ac:dyDescent="0.25">
      <c r="A20" s="1"/>
      <c r="B20" s="1"/>
      <c r="C20" s="6" t="s">
        <v>123</v>
      </c>
      <c r="D20" s="52" t="s">
        <v>150</v>
      </c>
      <c r="E20" s="53"/>
      <c r="F20" s="53"/>
      <c r="G20" s="54"/>
      <c r="H20" s="1"/>
      <c r="I20" s="1"/>
    </row>
    <row r="21" spans="1:9" x14ac:dyDescent="0.25">
      <c r="A21" s="1"/>
      <c r="B21" s="1"/>
      <c r="C21" s="6" t="s">
        <v>82</v>
      </c>
      <c r="D21" s="52" t="s">
        <v>51</v>
      </c>
      <c r="E21" s="53"/>
      <c r="F21" s="53"/>
      <c r="G21" s="54"/>
      <c r="H21" s="1"/>
      <c r="I21" s="1"/>
    </row>
    <row r="22" spans="1:9" x14ac:dyDescent="0.25">
      <c r="A22" s="1"/>
      <c r="B22" s="1"/>
      <c r="C22" s="6" t="s">
        <v>124</v>
      </c>
      <c r="D22" s="52" t="s">
        <v>83</v>
      </c>
      <c r="E22" s="53"/>
      <c r="F22" s="53"/>
      <c r="G22" s="54"/>
      <c r="H22" s="1"/>
      <c r="I22" s="1"/>
    </row>
    <row r="23" spans="1:9" x14ac:dyDescent="0.25">
      <c r="A23" s="1"/>
      <c r="B23" s="1"/>
      <c r="C23" s="6" t="s">
        <v>125</v>
      </c>
      <c r="D23" s="52" t="s">
        <v>84</v>
      </c>
      <c r="E23" s="53"/>
      <c r="F23" s="53"/>
      <c r="G23" s="54"/>
      <c r="H23" s="1"/>
      <c r="I23" s="1"/>
    </row>
    <row r="24" spans="1:9" x14ac:dyDescent="0.25">
      <c r="A24" s="1"/>
      <c r="B24" s="1"/>
      <c r="C24" s="6" t="s">
        <v>9</v>
      </c>
      <c r="D24" s="52" t="s">
        <v>52</v>
      </c>
      <c r="E24" s="53"/>
      <c r="F24" s="53"/>
      <c r="G24" s="54"/>
      <c r="H24" s="1"/>
      <c r="I24" s="1"/>
    </row>
    <row r="25" spans="1:9" x14ac:dyDescent="0.25">
      <c r="A25" s="1"/>
      <c r="B25" s="1"/>
      <c r="C25" s="6" t="s">
        <v>96</v>
      </c>
      <c r="D25" s="52" t="s">
        <v>53</v>
      </c>
      <c r="E25" s="53"/>
      <c r="F25" s="53"/>
      <c r="G25" s="54"/>
      <c r="H25" s="1"/>
      <c r="I25" s="1"/>
    </row>
    <row r="26" spans="1:9" x14ac:dyDescent="0.25">
      <c r="A26" s="1"/>
      <c r="B26" s="1"/>
      <c r="C26" s="6" t="s">
        <v>126</v>
      </c>
      <c r="D26" s="63" t="s">
        <v>10</v>
      </c>
      <c r="E26" s="64"/>
      <c r="F26" s="64"/>
      <c r="G26" s="65"/>
      <c r="H26" s="1"/>
      <c r="I26" s="1"/>
    </row>
    <row r="27" spans="1:9" x14ac:dyDescent="0.25">
      <c r="A27" s="1"/>
      <c r="B27" s="1"/>
      <c r="C27" s="6" t="s">
        <v>21</v>
      </c>
      <c r="D27" s="57" t="s">
        <v>127</v>
      </c>
      <c r="E27" s="58"/>
      <c r="F27" s="58"/>
      <c r="G27" s="59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</sheetData>
  <sheetProtection algorithmName="SHA-512" hashValue="9JaHzT9p1tAjyquCLpss9OvJiI/br22bl4qiXsto6kWoCr87zg5+Uxwji2orqd5JiEP+SuoPIXJuPRqIeJdyEQ==" saltValue="p2uZWC/8Ixn04YFqpBcwkw==" spinCount="100000" sheet="1" objects="1" scenarios="1"/>
  <mergeCells count="18">
    <mergeCell ref="D25:G25"/>
    <mergeCell ref="D27:G27"/>
    <mergeCell ref="D18:G18"/>
    <mergeCell ref="D21:G21"/>
    <mergeCell ref="D22:G22"/>
    <mergeCell ref="D24:G24"/>
    <mergeCell ref="D23:G23"/>
    <mergeCell ref="D20:G20"/>
    <mergeCell ref="D26:G26"/>
    <mergeCell ref="D14:G14"/>
    <mergeCell ref="D6:G7"/>
    <mergeCell ref="D19:G19"/>
    <mergeCell ref="D11:G11"/>
    <mergeCell ref="D8:G8"/>
    <mergeCell ref="D15:G15"/>
    <mergeCell ref="D16:G16"/>
    <mergeCell ref="D13:G13"/>
    <mergeCell ref="D17:G17"/>
  </mergeCells>
  <hyperlinks>
    <hyperlink ref="D14:G14" location="'Fane 2.2. Økonomisk ramme 2021'!A1" display="Samlet økonomisk ramme for 2021"/>
    <hyperlink ref="D22:G22" location="'Fane 8.1. Varige tillæg'!A1" display="Varige tillæg"/>
    <hyperlink ref="D24:G24" location="'Fane 9. Tilknyttet aktivitet'!A1" display="Tilknyttet aktivitet"/>
    <hyperlink ref="D25:G25" location="'Fane 10. Bortfald'!A1" display="Bortfald"/>
    <hyperlink ref="D13:G13" location="'Fane 2.1. Økonomisk ramme 2020'!A1" display="Samlet økonomisk ramme for 2020"/>
    <hyperlink ref="D16:G16" location="'Fane 2.4. Økonomisk ramme 2023'!A1" display="Samlet økonomisk ramme for 2023"/>
    <hyperlink ref="D15:G15" location="'Fane 2.3. Økonomisk ramme 2022'!A1" display="Samlet økonomisk ramme for 2022"/>
    <hyperlink ref="D18:G18" location="'Fane 4. Ikke-påvirkelige omk.'!A1" display="Ikke-påvirkelige omk."/>
    <hyperlink ref="D19:G19" location="'Fane 5. Kontrol af ØR2018'!A1" display="Kontrol af den økonomiske ramme for 2018"/>
    <hyperlink ref="D21:G21" location="'Fane 7. Anlægsprojekter'!A1" display="Anlægsprojekter"/>
    <hyperlink ref="D27:G27" location="'Fane 12. Nøgletal'!A1" display="Nøgletal"/>
    <hyperlink ref="D17:G17" location="'Fane 3. Omkostninger i ØR2019'!A1" display="Omkostninger i ØR2019"/>
    <hyperlink ref="D23:G23" location="'Fane 8.2. Engangstillæg'!A1" display="Engangstillæg"/>
    <hyperlink ref="D26:G26" location="'Fane 11. Hist. over-underdæk.'!A1" display="Historisk over- eller underdækning"/>
    <hyperlink ref="D20" location="'Fane 6. Korrektioner'!A1" display="Korrektion af tidligere rammer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6" t="s">
        <v>154</v>
      </c>
      <c r="C3" s="66"/>
      <c r="D3" s="66"/>
      <c r="E3" s="66"/>
      <c r="F3" s="66"/>
      <c r="G3" s="66"/>
      <c r="H3" s="66"/>
      <c r="I3" s="1"/>
    </row>
    <row r="4" spans="1:9" ht="15" customHeight="1" x14ac:dyDescent="0.25">
      <c r="A4" s="1"/>
      <c r="B4" s="66"/>
      <c r="C4" s="66"/>
      <c r="D4" s="66"/>
      <c r="E4" s="66"/>
      <c r="F4" s="66"/>
      <c r="G4" s="66"/>
      <c r="H4" s="6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7" t="s">
        <v>155</v>
      </c>
      <c r="C8" s="78"/>
      <c r="D8" s="78"/>
      <c r="E8" s="78"/>
      <c r="F8" s="78"/>
      <c r="G8" s="78"/>
      <c r="H8" s="79"/>
      <c r="I8" s="1"/>
    </row>
    <row r="9" spans="1:9" ht="39.75" customHeight="1" x14ac:dyDescent="0.25">
      <c r="A9" s="1"/>
      <c r="B9" s="18" t="s">
        <v>0</v>
      </c>
      <c r="C9" s="18" t="s">
        <v>1</v>
      </c>
      <c r="D9" s="18" t="s">
        <v>13</v>
      </c>
      <c r="E9" s="36" t="s">
        <v>2</v>
      </c>
      <c r="F9" s="36" t="s">
        <v>15</v>
      </c>
      <c r="G9" s="36" t="s">
        <v>41</v>
      </c>
      <c r="H9" s="45"/>
      <c r="I9" s="1"/>
    </row>
    <row r="10" spans="1:9" x14ac:dyDescent="0.25">
      <c r="A10" s="1"/>
      <c r="B10" s="34" t="s">
        <v>159</v>
      </c>
      <c r="C10" s="35"/>
      <c r="D10" s="8"/>
      <c r="E10" s="8"/>
      <c r="F10" s="8"/>
      <c r="G10" s="8"/>
      <c r="H10" s="12" t="s">
        <v>3</v>
      </c>
      <c r="I10" s="1"/>
    </row>
    <row r="11" spans="1:9" x14ac:dyDescent="0.25">
      <c r="A11" s="1"/>
      <c r="B11" s="77" t="s">
        <v>156</v>
      </c>
      <c r="C11" s="78"/>
      <c r="D11" s="79"/>
      <c r="E11" s="10">
        <f>SUM(E10:E10)</f>
        <v>0</v>
      </c>
      <c r="F11" s="10">
        <f>SUM(F10:F10)</f>
        <v>0</v>
      </c>
      <c r="G11" s="10">
        <f>SUM(G10:G10)</f>
        <v>0</v>
      </c>
      <c r="H11" s="11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IhWMVK+40n9Rq3bu+KZoOW7pp+QJpXF8Hp/Es9YqWJnblS8z37e8xPfwVQxRpBqL4cjcwQRyguGGGiJL9zajTA==" saltValue="SXrjGbq9HuAtXg0o+LbBKQ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120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6" t="s">
        <v>79</v>
      </c>
      <c r="C8" s="24"/>
      <c r="D8" s="24"/>
      <c r="E8" s="24"/>
      <c r="F8" s="47"/>
      <c r="G8" s="1"/>
    </row>
    <row r="9" spans="1:7" ht="17.25" customHeight="1" x14ac:dyDescent="0.25">
      <c r="A9" s="1"/>
      <c r="B9" s="25" t="s">
        <v>24</v>
      </c>
      <c r="C9" s="25" t="s">
        <v>15</v>
      </c>
      <c r="D9" s="26"/>
      <c r="E9" s="25" t="s">
        <v>42</v>
      </c>
      <c r="F9" s="45"/>
      <c r="G9" s="1"/>
    </row>
    <row r="10" spans="1:7" x14ac:dyDescent="0.25">
      <c r="A10" s="1"/>
      <c r="B10" s="22" t="s">
        <v>160</v>
      </c>
      <c r="C10" s="21">
        <f>'Fane 7. Anlægsprojekter'!F11</f>
        <v>0</v>
      </c>
      <c r="D10" s="12" t="s">
        <v>3</v>
      </c>
      <c r="E10" s="8">
        <f>SUM('Fane 7. Anlægsprojekter'!E11,'Fane 7. Anlægsprojekter'!G11)</f>
        <v>0</v>
      </c>
      <c r="F10" s="12" t="s">
        <v>3</v>
      </c>
      <c r="G10" s="1"/>
    </row>
    <row r="11" spans="1:7" x14ac:dyDescent="0.25">
      <c r="A11" s="1"/>
      <c r="B11" s="46" t="s">
        <v>54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46" t="s">
        <v>63</v>
      </c>
      <c r="C12" s="10">
        <f>C11*(1+'Fane 12. Nøgletal'!C12)</f>
        <v>0</v>
      </c>
      <c r="D12" s="11" t="s">
        <v>3</v>
      </c>
      <c r="E12" s="10">
        <f>E11*(1+'Fane 12. Nøgletal'!C12)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algorithmName="SHA-512" hashValue="rP+5udGQ9dO/zksXqhfMoUKNCFxAm1EuEb8+MmB9bkd+jZcsXxxvhNGDGwlZjmbzwgOionkxrRCSPta2rH7/0Q==" saltValue="oJ+MnzyHqG+ANGMVSVmiag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38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121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77" t="s">
        <v>102</v>
      </c>
      <c r="C8" s="78"/>
      <c r="D8" s="78"/>
      <c r="E8" s="78"/>
      <c r="F8" s="79"/>
      <c r="G8" s="1"/>
    </row>
    <row r="9" spans="1:7" x14ac:dyDescent="0.25">
      <c r="A9" s="1"/>
      <c r="B9" s="25" t="s">
        <v>24</v>
      </c>
      <c r="C9" s="25" t="s">
        <v>15</v>
      </c>
      <c r="D9" s="26"/>
      <c r="E9" s="25" t="s">
        <v>42</v>
      </c>
      <c r="F9" s="45"/>
      <c r="G9" s="1"/>
    </row>
    <row r="10" spans="1:7" x14ac:dyDescent="0.25">
      <c r="A10" s="1"/>
      <c r="B10" s="22" t="s">
        <v>149</v>
      </c>
      <c r="C10" s="21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25">
      <c r="A11" s="1"/>
      <c r="B11" s="46" t="s">
        <v>106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27" t="s">
        <v>115</v>
      </c>
      <c r="C12" s="28">
        <f>-C11*'Fane 12. Nøgletal'!C17</f>
        <v>0</v>
      </c>
      <c r="D12" s="29" t="s">
        <v>3</v>
      </c>
      <c r="E12" s="28">
        <f>-E11*'Fane 12. Nøgletal'!C17</f>
        <v>0</v>
      </c>
      <c r="F12" s="29" t="s">
        <v>3</v>
      </c>
      <c r="G12" s="1"/>
    </row>
    <row r="13" spans="1:7" x14ac:dyDescent="0.25">
      <c r="A13" s="1"/>
      <c r="B13" s="46" t="s">
        <v>107</v>
      </c>
      <c r="C13" s="10">
        <f>SUM(C11:C12)*(1+'Fane 12. Nøgletal'!C12)^2</f>
        <v>0</v>
      </c>
      <c r="D13" s="11" t="s">
        <v>3</v>
      </c>
      <c r="E13" s="10">
        <f>SUM(E11:E12)*(1+'Fane 12. Nøgletal'!C12)^2</f>
        <v>0</v>
      </c>
      <c r="F13" s="11" t="s">
        <v>3</v>
      </c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77" t="s">
        <v>103</v>
      </c>
      <c r="C15" s="78"/>
      <c r="D15" s="78"/>
      <c r="E15" s="78"/>
      <c r="F15" s="79"/>
      <c r="G15" s="1"/>
    </row>
    <row r="16" spans="1:7" x14ac:dyDescent="0.25">
      <c r="A16" s="1"/>
      <c r="B16" s="25" t="s">
        <v>24</v>
      </c>
      <c r="C16" s="25" t="s">
        <v>15</v>
      </c>
      <c r="D16" s="26"/>
      <c r="E16" s="25" t="s">
        <v>42</v>
      </c>
      <c r="F16" s="45"/>
      <c r="G16" s="1"/>
    </row>
    <row r="17" spans="1:7" x14ac:dyDescent="0.25">
      <c r="A17" s="1"/>
      <c r="B17" s="22" t="s">
        <v>149</v>
      </c>
      <c r="C17" s="21">
        <v>0</v>
      </c>
      <c r="D17" s="12" t="s">
        <v>3</v>
      </c>
      <c r="E17" s="8">
        <v>0</v>
      </c>
      <c r="F17" s="12" t="s">
        <v>3</v>
      </c>
      <c r="G17" s="1"/>
    </row>
    <row r="18" spans="1:7" x14ac:dyDescent="0.25">
      <c r="A18" s="1"/>
      <c r="B18" s="46" t="s">
        <v>106</v>
      </c>
      <c r="C18" s="10">
        <f>SUM(C17:C17)</f>
        <v>0</v>
      </c>
      <c r="D18" s="11" t="s">
        <v>3</v>
      </c>
      <c r="E18" s="10">
        <f>SUM(E17:E17)</f>
        <v>0</v>
      </c>
      <c r="F18" s="11" t="s">
        <v>3</v>
      </c>
      <c r="G18" s="1"/>
    </row>
    <row r="19" spans="1:7" x14ac:dyDescent="0.25">
      <c r="A19" s="1"/>
      <c r="B19" s="27" t="s">
        <v>115</v>
      </c>
      <c r="C19" s="28">
        <f>-C18*'Fane 12. Nøgletal'!C17</f>
        <v>0</v>
      </c>
      <c r="D19" s="29" t="s">
        <v>3</v>
      </c>
      <c r="E19" s="28">
        <f>-E18*'Fane 12. Nøgletal'!C17</f>
        <v>0</v>
      </c>
      <c r="F19" s="29" t="s">
        <v>3</v>
      </c>
      <c r="G19" s="1"/>
    </row>
    <row r="20" spans="1:7" x14ac:dyDescent="0.25">
      <c r="A20" s="1"/>
      <c r="B20" s="46" t="s">
        <v>108</v>
      </c>
      <c r="C20" s="10">
        <f>SUM(C18:C19)*(1+'Fane 12. Nøgletal'!C12)^3</f>
        <v>0</v>
      </c>
      <c r="D20" s="11" t="s">
        <v>3</v>
      </c>
      <c r="E20" s="10">
        <f>SUM(E18:E19)*(1+'Fane 12. Nøgletal'!C12)^3</f>
        <v>0</v>
      </c>
      <c r="F20" s="11" t="s">
        <v>3</v>
      </c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77" t="s">
        <v>104</v>
      </c>
      <c r="C22" s="78"/>
      <c r="D22" s="78"/>
      <c r="E22" s="78"/>
      <c r="F22" s="79"/>
      <c r="G22" s="1"/>
    </row>
    <row r="23" spans="1:7" x14ac:dyDescent="0.25">
      <c r="A23" s="1"/>
      <c r="B23" s="25" t="s">
        <v>24</v>
      </c>
      <c r="C23" s="25" t="s">
        <v>15</v>
      </c>
      <c r="D23" s="26"/>
      <c r="E23" s="25" t="s">
        <v>42</v>
      </c>
      <c r="F23" s="45"/>
      <c r="G23" s="1"/>
    </row>
    <row r="24" spans="1:7" x14ac:dyDescent="0.25">
      <c r="A24" s="1"/>
      <c r="B24" s="22" t="s">
        <v>149</v>
      </c>
      <c r="C24" s="21">
        <v>0</v>
      </c>
      <c r="D24" s="12" t="s">
        <v>3</v>
      </c>
      <c r="E24" s="8">
        <v>0</v>
      </c>
      <c r="F24" s="12" t="s">
        <v>3</v>
      </c>
      <c r="G24" s="1"/>
    </row>
    <row r="25" spans="1:7" x14ac:dyDescent="0.25">
      <c r="A25" s="1"/>
      <c r="B25" s="46" t="s">
        <v>106</v>
      </c>
      <c r="C25" s="10">
        <f>SUM(C24:C24)</f>
        <v>0</v>
      </c>
      <c r="D25" s="11" t="s">
        <v>3</v>
      </c>
      <c r="E25" s="10">
        <f>SUM(E24:E24)</f>
        <v>0</v>
      </c>
      <c r="F25" s="11" t="s">
        <v>3</v>
      </c>
      <c r="G25" s="1"/>
    </row>
    <row r="26" spans="1:7" x14ac:dyDescent="0.25">
      <c r="A26" s="1"/>
      <c r="B26" s="27" t="s">
        <v>115</v>
      </c>
      <c r="C26" s="28">
        <f>-C25*'Fane 12. Nøgletal'!C17</f>
        <v>0</v>
      </c>
      <c r="D26" s="29" t="s">
        <v>3</v>
      </c>
      <c r="E26" s="28">
        <f>-E25*'Fane 12. Nøgletal'!C17</f>
        <v>0</v>
      </c>
      <c r="F26" s="29" t="s">
        <v>3</v>
      </c>
      <c r="G26" s="1"/>
    </row>
    <row r="27" spans="1:7" x14ac:dyDescent="0.25">
      <c r="A27" s="1"/>
      <c r="B27" s="46" t="s">
        <v>108</v>
      </c>
      <c r="C27" s="10">
        <f>SUM(C25:C26)*(1+'Fane 12. Nøgletal'!C12)^4</f>
        <v>0</v>
      </c>
      <c r="D27" s="11" t="s">
        <v>3</v>
      </c>
      <c r="E27" s="10">
        <f>SUM(E25:E26)*(1+'Fane 12. Nøgletal'!C12)^4</f>
        <v>0</v>
      </c>
      <c r="F27" s="11" t="s">
        <v>3</v>
      </c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77" t="s">
        <v>105</v>
      </c>
      <c r="C29" s="78"/>
      <c r="D29" s="78"/>
      <c r="E29" s="78"/>
      <c r="F29" s="79"/>
      <c r="G29" s="1"/>
    </row>
    <row r="30" spans="1:7" x14ac:dyDescent="0.25">
      <c r="A30" s="1"/>
      <c r="B30" s="25" t="s">
        <v>24</v>
      </c>
      <c r="C30" s="25" t="s">
        <v>15</v>
      </c>
      <c r="D30" s="26"/>
      <c r="E30" s="25" t="s">
        <v>42</v>
      </c>
      <c r="F30" s="45"/>
      <c r="G30" s="1"/>
    </row>
    <row r="31" spans="1:7" x14ac:dyDescent="0.25">
      <c r="A31" s="1"/>
      <c r="B31" s="22" t="s">
        <v>149</v>
      </c>
      <c r="C31" s="21">
        <v>0</v>
      </c>
      <c r="D31" s="12" t="s">
        <v>3</v>
      </c>
      <c r="E31" s="8">
        <v>0</v>
      </c>
      <c r="F31" s="12" t="s">
        <v>3</v>
      </c>
      <c r="G31" s="1"/>
    </row>
    <row r="32" spans="1:7" x14ac:dyDescent="0.25">
      <c r="A32" s="1"/>
      <c r="B32" s="46" t="s">
        <v>106</v>
      </c>
      <c r="C32" s="10">
        <f>SUM(C31:C31)</f>
        <v>0</v>
      </c>
      <c r="D32" s="11" t="s">
        <v>3</v>
      </c>
      <c r="E32" s="10">
        <f>SUM(E31:E31)</f>
        <v>0</v>
      </c>
      <c r="F32" s="11" t="s">
        <v>3</v>
      </c>
      <c r="G32" s="1"/>
    </row>
    <row r="33" spans="1:7" x14ac:dyDescent="0.25">
      <c r="A33" s="1"/>
      <c r="B33" s="27" t="s">
        <v>115</v>
      </c>
      <c r="C33" s="28">
        <f>-C32*'Fane 12. Nøgletal'!C17</f>
        <v>0</v>
      </c>
      <c r="D33" s="29" t="s">
        <v>3</v>
      </c>
      <c r="E33" s="28">
        <f>-E32*'Fane 12. Nøgletal'!C17</f>
        <v>0</v>
      </c>
      <c r="F33" s="29" t="s">
        <v>3</v>
      </c>
      <c r="G33" s="1"/>
    </row>
    <row r="34" spans="1:7" x14ac:dyDescent="0.25">
      <c r="A34" s="1"/>
      <c r="B34" s="46" t="s">
        <v>108</v>
      </c>
      <c r="C34" s="10">
        <f>SUM(C32:C33)*(1+'Fane 12. Nøgletal'!C12)^5</f>
        <v>0</v>
      </c>
      <c r="D34" s="11" t="s">
        <v>3</v>
      </c>
      <c r="E34" s="10">
        <f>SUM(E32:E33)*(1+'Fane 12. Nøgletal'!C12)^5</f>
        <v>0</v>
      </c>
      <c r="F34" s="11" t="s">
        <v>3</v>
      </c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</sheetData>
  <sheetProtection algorithmName="SHA-512" hashValue="SjkqIWWAQFujwWSLWqExyCL7WxiYWKeXqVhzPRIgR8xBifOdDOmOZZ+/Pn2Ke1241nS+DVxUHP1xNxnGjQl2pg==" saltValue="gHA3sX0eEiLiLG77+JeIYw==" spinCount="100000" sheet="1" objects="1" scenarios="1"/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6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41.140625" style="2" bestFit="1" customWidth="1"/>
    <col min="3" max="3" width="13.42578125" style="2" customWidth="1"/>
    <col min="4" max="4" width="3.28515625" style="2" customWidth="1"/>
    <col min="5" max="5" width="14.425781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1" t="s">
        <v>134</v>
      </c>
      <c r="C3" s="71"/>
      <c r="D3" s="71"/>
      <c r="E3" s="71"/>
      <c r="F3" s="71"/>
      <c r="G3" s="1"/>
    </row>
    <row r="4" spans="1:7" ht="25.5" customHeight="1" x14ac:dyDescent="0.25">
      <c r="A4" s="1"/>
      <c r="B4" s="71"/>
      <c r="C4" s="71"/>
      <c r="D4" s="71"/>
      <c r="E4" s="71"/>
      <c r="F4" s="7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77" t="s">
        <v>32</v>
      </c>
      <c r="C8" s="78"/>
      <c r="D8" s="78"/>
      <c r="E8" s="78"/>
      <c r="F8" s="79"/>
      <c r="G8" s="1"/>
    </row>
    <row r="9" spans="1:7" ht="15" customHeight="1" x14ac:dyDescent="0.25">
      <c r="A9" s="1"/>
      <c r="B9" s="44" t="s">
        <v>33</v>
      </c>
      <c r="C9" s="89" t="s">
        <v>15</v>
      </c>
      <c r="D9" s="90"/>
      <c r="E9" s="89" t="s">
        <v>42</v>
      </c>
      <c r="F9" s="90"/>
      <c r="G9" s="1"/>
    </row>
    <row r="10" spans="1:7" x14ac:dyDescent="0.25">
      <c r="A10" s="1"/>
      <c r="B10" s="22" t="s">
        <v>157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ht="28.5" customHeight="1" x14ac:dyDescent="0.25">
      <c r="A11" s="1"/>
      <c r="B11" s="20" t="s">
        <v>34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ht="27" customHeight="1" x14ac:dyDescent="0.25">
      <c r="A12" s="1"/>
      <c r="B12" s="20" t="s">
        <v>65</v>
      </c>
      <c r="C12" s="10">
        <f>C11*(1+'Fane 12. Nøgletal'!C12)</f>
        <v>0</v>
      </c>
      <c r="D12" s="11" t="s">
        <v>3</v>
      </c>
      <c r="E12" s="10">
        <f>E11*(1+'Fane 12. Nøgletal'!C12)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</sheetData>
  <sheetProtection algorithmName="SHA-512" hashValue="ajv+i1kygFXy5Ib9UFaKb4X2QbpMJYRJQ+JJ6FuOtxmX5Lt1hVpSnOMhDax9K7tJ1d832x/3ULOAltks4HKxOg==" saltValue="D8zKm6rQyX3EdaCljrHiUQ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1" t="s">
        <v>135</v>
      </c>
      <c r="C3" s="71"/>
      <c r="D3" s="71"/>
      <c r="E3" s="71"/>
      <c r="F3" s="71"/>
      <c r="G3" s="1"/>
    </row>
    <row r="4" spans="1:7" ht="25.5" customHeight="1" x14ac:dyDescent="0.25">
      <c r="A4" s="1"/>
      <c r="B4" s="71"/>
      <c r="C4" s="71"/>
      <c r="D4" s="71"/>
      <c r="E4" s="71"/>
      <c r="F4" s="7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77" t="s">
        <v>91</v>
      </c>
      <c r="C8" s="78"/>
      <c r="D8" s="78"/>
      <c r="E8" s="78"/>
      <c r="F8" s="79"/>
      <c r="G8" s="1"/>
    </row>
    <row r="9" spans="1:7" ht="15" customHeight="1" x14ac:dyDescent="0.25">
      <c r="A9" s="1"/>
      <c r="B9" s="44" t="s">
        <v>25</v>
      </c>
      <c r="C9" s="44" t="s">
        <v>15</v>
      </c>
      <c r="D9" s="45"/>
      <c r="E9" s="44" t="s">
        <v>42</v>
      </c>
      <c r="F9" s="45"/>
      <c r="G9" s="1"/>
    </row>
    <row r="10" spans="1:7" x14ac:dyDescent="0.25">
      <c r="A10" s="1"/>
      <c r="B10" s="22" t="s">
        <v>158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25">
      <c r="A11" s="1"/>
      <c r="B11" s="46" t="s">
        <v>55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46" t="s">
        <v>64</v>
      </c>
      <c r="C12" s="10">
        <f>C11*(1+'Fane 12. Nøgletal'!C12)</f>
        <v>0</v>
      </c>
      <c r="D12" s="11" t="s">
        <v>3</v>
      </c>
      <c r="E12" s="10">
        <f>E11*(1+'Fane 12. Nøgletal'!C12)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77" t="s">
        <v>92</v>
      </c>
      <c r="C14" s="78"/>
      <c r="D14" s="78"/>
      <c r="E14" s="78"/>
      <c r="F14" s="79"/>
      <c r="G14" s="1"/>
    </row>
    <row r="15" spans="1:7" ht="26.25" x14ac:dyDescent="0.25">
      <c r="A15" s="1"/>
      <c r="B15" s="44" t="s">
        <v>25</v>
      </c>
      <c r="C15" s="44" t="s">
        <v>15</v>
      </c>
      <c r="D15" s="45"/>
      <c r="E15" s="44" t="s">
        <v>42</v>
      </c>
      <c r="F15" s="45"/>
      <c r="G15" s="1"/>
    </row>
    <row r="16" spans="1:7" x14ac:dyDescent="0.25">
      <c r="A16" s="1"/>
      <c r="B16" s="22" t="s">
        <v>158</v>
      </c>
      <c r="C16" s="8">
        <v>0</v>
      </c>
      <c r="D16" s="12" t="s">
        <v>3</v>
      </c>
      <c r="E16" s="8">
        <v>0</v>
      </c>
      <c r="F16" s="12" t="s">
        <v>3</v>
      </c>
      <c r="G16" s="1"/>
    </row>
    <row r="17" spans="1:7" x14ac:dyDescent="0.25">
      <c r="A17" s="1"/>
      <c r="B17" s="46" t="s">
        <v>55</v>
      </c>
      <c r="C17" s="10">
        <f>SUM(C16:C16)</f>
        <v>0</v>
      </c>
      <c r="D17" s="11" t="s">
        <v>3</v>
      </c>
      <c r="E17" s="10">
        <f>SUM(E16:E16)</f>
        <v>0</v>
      </c>
      <c r="F17" s="11" t="s">
        <v>3</v>
      </c>
      <c r="G17" s="1"/>
    </row>
    <row r="18" spans="1:7" x14ac:dyDescent="0.25">
      <c r="A18" s="1"/>
      <c r="B18" s="46" t="s">
        <v>86</v>
      </c>
      <c r="C18" s="10">
        <f>C17*(1+'Fane 12. Nøgletal'!C12)^2</f>
        <v>0</v>
      </c>
      <c r="D18" s="11" t="s">
        <v>3</v>
      </c>
      <c r="E18" s="10">
        <f>E17*(1+'Fane 12. Nøgletal'!C12)^2</f>
        <v>0</v>
      </c>
      <c r="F18" s="11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77" t="s">
        <v>90</v>
      </c>
      <c r="C20" s="78"/>
      <c r="D20" s="78"/>
      <c r="E20" s="78"/>
      <c r="F20" s="79"/>
      <c r="G20" s="1"/>
    </row>
    <row r="21" spans="1:7" ht="26.25" x14ac:dyDescent="0.25">
      <c r="A21" s="1"/>
      <c r="B21" s="44" t="s">
        <v>25</v>
      </c>
      <c r="C21" s="44" t="s">
        <v>15</v>
      </c>
      <c r="D21" s="45"/>
      <c r="E21" s="44" t="s">
        <v>42</v>
      </c>
      <c r="F21" s="45"/>
      <c r="G21" s="1"/>
    </row>
    <row r="22" spans="1:7" x14ac:dyDescent="0.25">
      <c r="A22" s="1"/>
      <c r="B22" s="22" t="s">
        <v>158</v>
      </c>
      <c r="C22" s="8">
        <v>0</v>
      </c>
      <c r="D22" s="12" t="s">
        <v>3</v>
      </c>
      <c r="E22" s="8">
        <v>0</v>
      </c>
      <c r="F22" s="12" t="s">
        <v>3</v>
      </c>
      <c r="G22" s="1"/>
    </row>
    <row r="23" spans="1:7" x14ac:dyDescent="0.25">
      <c r="A23" s="1"/>
      <c r="B23" s="46" t="s">
        <v>55</v>
      </c>
      <c r="C23" s="10">
        <f>SUM(C22:C22)</f>
        <v>0</v>
      </c>
      <c r="D23" s="11" t="s">
        <v>3</v>
      </c>
      <c r="E23" s="10">
        <f>SUM(E22:E22)</f>
        <v>0</v>
      </c>
      <c r="F23" s="11" t="s">
        <v>3</v>
      </c>
      <c r="G23" s="1"/>
    </row>
    <row r="24" spans="1:7" x14ac:dyDescent="0.25">
      <c r="A24" s="1"/>
      <c r="B24" s="46" t="s">
        <v>87</v>
      </c>
      <c r="C24" s="10">
        <f>C23*(1+'Fane 12. Nøgletal'!C12)^3</f>
        <v>0</v>
      </c>
      <c r="D24" s="11" t="s">
        <v>3</v>
      </c>
      <c r="E24" s="10">
        <f>E23*(1+'Fane 12. Nøgletal'!C12)^3</f>
        <v>0</v>
      </c>
      <c r="F24" s="11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77" t="s">
        <v>93</v>
      </c>
      <c r="C26" s="78"/>
      <c r="D26" s="78"/>
      <c r="E26" s="78"/>
      <c r="F26" s="79"/>
      <c r="G26" s="1"/>
    </row>
    <row r="27" spans="1:7" ht="26.25" x14ac:dyDescent="0.25">
      <c r="A27" s="1"/>
      <c r="B27" s="44" t="s">
        <v>25</v>
      </c>
      <c r="C27" s="44" t="s">
        <v>15</v>
      </c>
      <c r="D27" s="45"/>
      <c r="E27" s="44" t="s">
        <v>42</v>
      </c>
      <c r="F27" s="45"/>
      <c r="G27" s="1"/>
    </row>
    <row r="28" spans="1:7" x14ac:dyDescent="0.25">
      <c r="A28" s="1"/>
      <c r="B28" s="22" t="s">
        <v>158</v>
      </c>
      <c r="C28" s="8">
        <v>0</v>
      </c>
      <c r="D28" s="12" t="s">
        <v>3</v>
      </c>
      <c r="E28" s="8">
        <v>0</v>
      </c>
      <c r="F28" s="12" t="s">
        <v>3</v>
      </c>
      <c r="G28" s="1"/>
    </row>
    <row r="29" spans="1:7" x14ac:dyDescent="0.25">
      <c r="A29" s="1"/>
      <c r="B29" s="46" t="s">
        <v>55</v>
      </c>
      <c r="C29" s="10">
        <f>SUM(C28:C28)</f>
        <v>0</v>
      </c>
      <c r="D29" s="11" t="s">
        <v>3</v>
      </c>
      <c r="E29" s="10">
        <f>SUM(E28:E28)</f>
        <v>0</v>
      </c>
      <c r="F29" s="11" t="s">
        <v>3</v>
      </c>
      <c r="G29" s="1"/>
    </row>
    <row r="30" spans="1:7" x14ac:dyDescent="0.25">
      <c r="A30" s="1"/>
      <c r="B30" s="46" t="s">
        <v>88</v>
      </c>
      <c r="C30" s="10">
        <f>C29*(1+'Fane 12. Nøgletal'!C12)^4</f>
        <v>0</v>
      </c>
      <c r="D30" s="11" t="s">
        <v>3</v>
      </c>
      <c r="E30" s="10">
        <f>E29*(1+'Fane 12. Nøgletal'!C12)^4</f>
        <v>0</v>
      </c>
      <c r="F30" s="11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algorithmName="SHA-512" hashValue="lr7dYMDHohPpbblJGWr7koF011jVxRLw1pdrg5wyD/gciGcpvwwEbFdwhdqY58TpXwP9aKrdw0GcZjLGcJbSUw==" saltValue="MUZCoH9p2s5UbFNQdVbPgA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9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6" t="s">
        <v>136</v>
      </c>
      <c r="C3" s="66"/>
      <c r="D3" s="66"/>
      <c r="E3" s="66"/>
      <c r="F3" s="66"/>
      <c r="G3" s="66"/>
      <c r="H3" s="66"/>
      <c r="I3" s="1"/>
    </row>
    <row r="4" spans="1:9" ht="15" customHeight="1" x14ac:dyDescent="0.25">
      <c r="A4" s="1"/>
      <c r="B4" s="66"/>
      <c r="C4" s="66"/>
      <c r="D4" s="66"/>
      <c r="E4" s="66"/>
      <c r="F4" s="66"/>
      <c r="G4" s="66"/>
      <c r="H4" s="6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7" t="s">
        <v>17</v>
      </c>
      <c r="C8" s="78"/>
      <c r="D8" s="78"/>
      <c r="E8" s="78"/>
      <c r="F8" s="78"/>
      <c r="G8" s="78"/>
      <c r="H8" s="79"/>
      <c r="I8" s="1"/>
    </row>
    <row r="9" spans="1:9" x14ac:dyDescent="0.25">
      <c r="A9" s="1"/>
      <c r="B9" s="91" t="s">
        <v>11</v>
      </c>
      <c r="C9" s="92"/>
      <c r="D9" s="92"/>
      <c r="E9" s="92"/>
      <c r="F9" s="93"/>
      <c r="G9" s="8">
        <v>10218044</v>
      </c>
      <c r="H9" s="12" t="s">
        <v>3</v>
      </c>
      <c r="I9" s="1"/>
    </row>
    <row r="10" spans="1:9" x14ac:dyDescent="0.25">
      <c r="A10" s="1"/>
      <c r="B10" s="91" t="s">
        <v>77</v>
      </c>
      <c r="C10" s="92"/>
      <c r="D10" s="92"/>
      <c r="E10" s="92"/>
      <c r="F10" s="93"/>
      <c r="G10" s="8">
        <v>0</v>
      </c>
      <c r="H10" s="12" t="s">
        <v>3</v>
      </c>
      <c r="I10" s="1"/>
    </row>
    <row r="11" spans="1:9" x14ac:dyDescent="0.25">
      <c r="A11" s="1"/>
      <c r="B11" s="91" t="s">
        <v>69</v>
      </c>
      <c r="C11" s="92"/>
      <c r="D11" s="92"/>
      <c r="E11" s="92"/>
      <c r="F11" s="93"/>
      <c r="G11" s="8">
        <v>-9159189.3783068769</v>
      </c>
      <c r="H11" s="12" t="s">
        <v>3</v>
      </c>
      <c r="I11" s="1"/>
    </row>
    <row r="12" spans="1:9" x14ac:dyDescent="0.25">
      <c r="A12" s="1"/>
      <c r="B12" s="94" t="s">
        <v>14</v>
      </c>
      <c r="C12" s="95"/>
      <c r="D12" s="95"/>
      <c r="E12" s="95"/>
      <c r="F12" s="96"/>
      <c r="G12" s="17">
        <f>(G9+G10)+G11</f>
        <v>1058854.6216931231</v>
      </c>
      <c r="H12" s="16" t="s">
        <v>3</v>
      </c>
      <c r="I12" s="1"/>
    </row>
    <row r="13" spans="1:9" x14ac:dyDescent="0.25">
      <c r="A13" s="1"/>
      <c r="B13" s="91" t="s">
        <v>12</v>
      </c>
      <c r="C13" s="92"/>
      <c r="D13" s="92"/>
      <c r="E13" s="92"/>
      <c r="F13" s="93"/>
      <c r="G13" s="8">
        <v>1</v>
      </c>
      <c r="H13" s="12" t="s">
        <v>27</v>
      </c>
      <c r="I13" s="1"/>
    </row>
    <row r="14" spans="1:9" x14ac:dyDescent="0.25">
      <c r="A14" s="1"/>
      <c r="B14" s="77" t="s">
        <v>78</v>
      </c>
      <c r="C14" s="78"/>
      <c r="D14" s="78"/>
      <c r="E14" s="78"/>
      <c r="F14" s="79"/>
      <c r="G14" s="10">
        <f>IF(G13 = 0,0,-G12/G13)</f>
        <v>-1058854.6216931231</v>
      </c>
      <c r="H14" s="11" t="s">
        <v>3</v>
      </c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HnHbdUnnNRyNvm/iLWqi3A2g7HUdjSB+/CdUJZM3MSkNblIE5m7vNPBS/ZA5D6uwmR8B+d64WYikHGUkrL1q2A==" saltValue="FiofHKHoLZVcYt8GcTdCeg==" spinCount="100000" sheet="1" objects="1" scenarios="1"/>
  <mergeCells count="8">
    <mergeCell ref="B13:F13"/>
    <mergeCell ref="B14:F14"/>
    <mergeCell ref="B3:H4"/>
    <mergeCell ref="B8:H8"/>
    <mergeCell ref="B9:F9"/>
    <mergeCell ref="B11:F11"/>
    <mergeCell ref="B12:F12"/>
    <mergeCell ref="B10:F10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D47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5.8554687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71" t="s">
        <v>137</v>
      </c>
      <c r="C3" s="71"/>
      <c r="D3" s="1"/>
    </row>
    <row r="4" spans="1:4" ht="25.5" customHeight="1" x14ac:dyDescent="0.25">
      <c r="A4" s="1"/>
      <c r="B4" s="71"/>
      <c r="C4" s="71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46" t="s">
        <v>20</v>
      </c>
      <c r="C8" s="47"/>
      <c r="D8" s="1"/>
    </row>
    <row r="9" spans="1:4" x14ac:dyDescent="0.25">
      <c r="A9" s="1"/>
      <c r="B9" s="30" t="s">
        <v>132</v>
      </c>
      <c r="C9" s="23">
        <v>1.2699999999999999E-2</v>
      </c>
      <c r="D9" s="1"/>
    </row>
    <row r="10" spans="1:4" x14ac:dyDescent="0.25">
      <c r="A10" s="1"/>
      <c r="B10" s="30" t="s">
        <v>30</v>
      </c>
      <c r="C10" s="23">
        <v>1.7500000000000002E-2</v>
      </c>
      <c r="D10" s="1"/>
    </row>
    <row r="11" spans="1:4" x14ac:dyDescent="0.25">
      <c r="A11" s="1"/>
      <c r="B11" s="30" t="s">
        <v>31</v>
      </c>
      <c r="C11" s="23">
        <v>1.6899999999999998E-2</v>
      </c>
      <c r="D11" s="1"/>
    </row>
    <row r="12" spans="1:4" x14ac:dyDescent="0.25">
      <c r="A12" s="1"/>
      <c r="B12" s="32" t="s">
        <v>62</v>
      </c>
      <c r="C12" s="33">
        <v>1.9699999999999999E-2</v>
      </c>
      <c r="D12" s="1"/>
    </row>
    <row r="13" spans="1:4" x14ac:dyDescent="0.25">
      <c r="A13" s="1"/>
      <c r="B13" s="46"/>
      <c r="C13" s="47"/>
      <c r="D13" s="1"/>
    </row>
    <row r="14" spans="1:4" x14ac:dyDescent="0.25">
      <c r="A14" s="1"/>
      <c r="B14" s="1"/>
      <c r="C14" s="1"/>
      <c r="D14" s="1"/>
    </row>
    <row r="15" spans="1:4" x14ac:dyDescent="0.25">
      <c r="A15" s="1"/>
      <c r="B15" s="1"/>
      <c r="C15" s="1"/>
      <c r="D15" s="1"/>
    </row>
    <row r="16" spans="1:4" x14ac:dyDescent="0.25">
      <c r="A16" s="1"/>
      <c r="B16" s="46" t="s">
        <v>115</v>
      </c>
      <c r="C16" s="47"/>
      <c r="D16" s="1"/>
    </row>
    <row r="17" spans="1:4" x14ac:dyDescent="0.25">
      <c r="A17" s="1"/>
      <c r="B17" s="30" t="s">
        <v>133</v>
      </c>
      <c r="C17" s="23">
        <v>1.7000000000000001E-2</v>
      </c>
      <c r="D17" s="1"/>
    </row>
    <row r="18" spans="1:4" x14ac:dyDescent="0.25">
      <c r="A18" s="1"/>
      <c r="B18" s="97"/>
      <c r="C18" s="98"/>
      <c r="D18" s="1"/>
    </row>
    <row r="19" spans="1:4" x14ac:dyDescent="0.25">
      <c r="A19" s="1"/>
      <c r="B19" s="1"/>
      <c r="C19" s="1"/>
      <c r="D19" s="1"/>
    </row>
    <row r="20" spans="1:4" x14ac:dyDescent="0.25">
      <c r="A20" s="1"/>
      <c r="B20" s="1"/>
      <c r="C20" s="1"/>
      <c r="D20" s="1"/>
    </row>
    <row r="21" spans="1:4" x14ac:dyDescent="0.25">
      <c r="A21" s="1"/>
      <c r="B21" s="1"/>
      <c r="C21" s="1"/>
      <c r="D21" s="1"/>
    </row>
    <row r="22" spans="1:4" x14ac:dyDescent="0.25">
      <c r="A22" s="1"/>
      <c r="B22" s="1"/>
      <c r="C22" s="1"/>
      <c r="D22" s="1"/>
    </row>
    <row r="23" spans="1:4" x14ac:dyDescent="0.25">
      <c r="A23" s="1"/>
      <c r="B23" s="1"/>
      <c r="C23" s="1"/>
      <c r="D23" s="1"/>
    </row>
    <row r="24" spans="1:4" x14ac:dyDescent="0.25">
      <c r="A24" s="1"/>
      <c r="B24" s="1"/>
      <c r="C24" s="1"/>
      <c r="D24" s="1"/>
    </row>
    <row r="25" spans="1:4" x14ac:dyDescent="0.25">
      <c r="A25" s="1"/>
      <c r="B25" s="1"/>
      <c r="C25" s="1"/>
      <c r="D25" s="1"/>
    </row>
    <row r="26" spans="1:4" x14ac:dyDescent="0.25">
      <c r="A26" s="1"/>
      <c r="B26" s="1"/>
      <c r="C26" s="1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1"/>
      <c r="C28" s="1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</sheetData>
  <sheetProtection algorithmName="SHA-512" hashValue="YKs3F00uAxMlyl/5Xu2Wbji2dYMJMtbut0UhLkkg6/hhaLsoInShff/3ctvpzY9rbNNEEvrNj3rLctMsp/NJFQ==" saltValue="4lOpb4WbgLH1szg3GaV9dw==" spinCount="100000" sheet="1" objects="1" scenarios="1"/>
  <mergeCells count="2">
    <mergeCell ref="B3:C4"/>
    <mergeCell ref="B18:C18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44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60.5703125" style="2" customWidth="1"/>
    <col min="3" max="3" width="9.140625" style="2" hidden="1" customWidth="1"/>
    <col min="4" max="4" width="27.140625" style="2" hidden="1" customWidth="1"/>
    <col min="5" max="5" width="10.140625" style="2" customWidth="1"/>
    <col min="6" max="6" width="3.85546875" style="2" customWidth="1"/>
    <col min="7" max="7" width="6.28515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56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2" t="s">
        <v>19</v>
      </c>
      <c r="C8" s="42"/>
      <c r="D8" s="42"/>
      <c r="E8" s="42"/>
      <c r="F8" s="42"/>
      <c r="G8" s="1"/>
    </row>
    <row r="9" spans="1:7" x14ac:dyDescent="0.25">
      <c r="A9" s="1"/>
      <c r="B9" s="38" t="s">
        <v>35</v>
      </c>
      <c r="C9" s="38"/>
      <c r="D9" s="38"/>
      <c r="E9" s="7">
        <f>'Fane 3. Omkostninger i ØR2019'!E15</f>
        <v>5958033.3184017921</v>
      </c>
      <c r="F9" s="38" t="s">
        <v>3</v>
      </c>
      <c r="G9" s="1"/>
    </row>
    <row r="10" spans="1:7" x14ac:dyDescent="0.25">
      <c r="A10" s="1"/>
      <c r="B10" s="40" t="s">
        <v>140</v>
      </c>
      <c r="C10" s="38"/>
      <c r="D10" s="38"/>
      <c r="E10" s="7">
        <f>'Fane 3. Omkostninger i ØR2019'!E10*(1-'Fane 12. Nøgletal'!C17)*(1+'Fane 12. Nøgletal'!C10)</f>
        <v>0</v>
      </c>
      <c r="F10" s="38" t="s">
        <v>3</v>
      </c>
      <c r="G10" s="1"/>
    </row>
    <row r="11" spans="1:7" x14ac:dyDescent="0.25">
      <c r="A11" s="1"/>
      <c r="B11" s="40" t="s">
        <v>143</v>
      </c>
      <c r="C11" s="38"/>
      <c r="D11" s="38"/>
      <c r="E11" s="7">
        <f>('Fane 3. Omkostninger i ØR2019'!E11+'Fane 3. Omkostninger i ØR2019'!E12)*(1-'Fane 12. Nøgletal'!C17)*(1+'Fane 12. Nøgletal'!C11)</f>
        <v>0</v>
      </c>
      <c r="F11" s="38" t="s">
        <v>3</v>
      </c>
      <c r="G11" s="1"/>
    </row>
    <row r="12" spans="1:7" ht="17.100000000000001" customHeight="1" x14ac:dyDescent="0.25">
      <c r="A12" s="1"/>
      <c r="B12" s="31" t="s">
        <v>141</v>
      </c>
      <c r="C12" s="38"/>
      <c r="D12" s="38"/>
      <c r="E12" s="7">
        <f>'Fane 8.1. Varige tillæg'!C12+'Fane 8.1. Varige tillæg'!E12</f>
        <v>0</v>
      </c>
      <c r="F12" s="38" t="s">
        <v>3</v>
      </c>
      <c r="G12" s="1"/>
    </row>
    <row r="13" spans="1:7" ht="17.100000000000001" customHeight="1" x14ac:dyDescent="0.25">
      <c r="A13" s="1"/>
      <c r="B13" s="31" t="s">
        <v>144</v>
      </c>
      <c r="C13" s="38"/>
      <c r="D13" s="38"/>
      <c r="E13" s="8">
        <f>-('Fane 10. Bortfald'!C12+'Fane 10. Bortfald'!E12)</f>
        <v>0</v>
      </c>
      <c r="F13" s="38" t="s">
        <v>3</v>
      </c>
      <c r="G13" s="1"/>
    </row>
    <row r="14" spans="1:7" ht="17.100000000000001" customHeight="1" x14ac:dyDescent="0.25">
      <c r="A14" s="1"/>
      <c r="B14" s="31" t="s">
        <v>111</v>
      </c>
      <c r="C14" s="38"/>
      <c r="D14" s="38"/>
      <c r="E14" s="8">
        <f>'Fane 9. Tilknyttet aktivitet'!C12+'Fane 9. Tilknyttet aktivitet'!E12</f>
        <v>0</v>
      </c>
      <c r="F14" s="38" t="s">
        <v>3</v>
      </c>
      <c r="G14" s="1"/>
    </row>
    <row r="15" spans="1:7" ht="17.100000000000001" customHeight="1" x14ac:dyDescent="0.25">
      <c r="A15" s="1"/>
      <c r="B15" s="31" t="s">
        <v>26</v>
      </c>
      <c r="C15" s="38"/>
      <c r="D15" s="38"/>
      <c r="E15" s="8">
        <f>(E9-SUM(E10:E11))*'Fane 12. Nøgletal'!C9+E10*'Fane 12. Nøgletal'!C10+E11*'Fane 12. Nøgletal'!C11+SUM(E12:E14)*'Fane 12. Nøgletal'!C12</f>
        <v>75667.023143702754</v>
      </c>
      <c r="F15" s="38" t="s">
        <v>3</v>
      </c>
      <c r="G15" s="1"/>
    </row>
    <row r="16" spans="1:7" ht="17.100000000000001" customHeight="1" x14ac:dyDescent="0.25">
      <c r="A16" s="1"/>
      <c r="B16" s="31" t="s">
        <v>115</v>
      </c>
      <c r="C16" s="38"/>
      <c r="D16" s="38"/>
      <c r="E16" s="8">
        <f>-SUM(E9,E12:E15)*'Fane 12. Nøgletal'!C17</f>
        <v>-102572.90580627343</v>
      </c>
      <c r="F16" s="38" t="s">
        <v>3</v>
      </c>
      <c r="G16" s="1"/>
    </row>
    <row r="17" spans="1:7" ht="17.100000000000001" customHeight="1" x14ac:dyDescent="0.25">
      <c r="A17" s="1"/>
      <c r="B17" s="43" t="s">
        <v>28</v>
      </c>
      <c r="C17" s="41"/>
      <c r="D17" s="41"/>
      <c r="E17" s="9">
        <f>SUM(E9,E12:E16)</f>
        <v>5931127.435739222</v>
      </c>
      <c r="F17" s="36" t="s">
        <v>3</v>
      </c>
      <c r="G17" s="1"/>
    </row>
    <row r="18" spans="1:7" ht="15" customHeight="1" x14ac:dyDescent="0.25">
      <c r="A18" s="1"/>
      <c r="B18" s="42" t="s">
        <v>16</v>
      </c>
      <c r="C18" s="42"/>
      <c r="D18" s="42"/>
      <c r="E18" s="42"/>
      <c r="F18" s="42"/>
      <c r="G18" s="1"/>
    </row>
    <row r="19" spans="1:7" ht="15" customHeight="1" x14ac:dyDescent="0.25">
      <c r="A19" s="1"/>
      <c r="B19" s="36" t="s">
        <v>16</v>
      </c>
      <c r="C19" s="36"/>
      <c r="D19" s="36"/>
      <c r="E19" s="9">
        <f>'Fane 4. Ikke-påvirkelige omk.'!C13</f>
        <v>4266509.4405044103</v>
      </c>
      <c r="F19" s="36" t="s">
        <v>3</v>
      </c>
      <c r="G19" s="1"/>
    </row>
    <row r="20" spans="1:7" ht="15" customHeight="1" x14ac:dyDescent="0.25">
      <c r="A20" s="1"/>
      <c r="B20" s="42" t="s">
        <v>84</v>
      </c>
      <c r="C20" s="42"/>
      <c r="D20" s="42"/>
      <c r="E20" s="42"/>
      <c r="F20" s="42"/>
      <c r="G20" s="1"/>
    </row>
    <row r="21" spans="1:7" ht="15" customHeight="1" x14ac:dyDescent="0.25">
      <c r="A21" s="1"/>
      <c r="B21" s="31" t="s">
        <v>80</v>
      </c>
      <c r="C21" s="38"/>
      <c r="D21" s="38"/>
      <c r="E21" s="8">
        <f>'Fane 8.2. Engangstillæg'!C13</f>
        <v>0</v>
      </c>
      <c r="F21" s="38" t="s">
        <v>3</v>
      </c>
      <c r="G21" s="1"/>
    </row>
    <row r="22" spans="1:7" ht="15" customHeight="1" x14ac:dyDescent="0.25">
      <c r="A22" s="1"/>
      <c r="B22" s="31" t="s">
        <v>81</v>
      </c>
      <c r="C22" s="38"/>
      <c r="D22" s="38"/>
      <c r="E22" s="8">
        <f>'Fane 8.2. Engangstillæg'!E13</f>
        <v>0</v>
      </c>
      <c r="F22" s="38" t="s">
        <v>3</v>
      </c>
      <c r="G22" s="1"/>
    </row>
    <row r="23" spans="1:7" x14ac:dyDescent="0.25">
      <c r="A23" s="1"/>
      <c r="B23" s="43" t="s">
        <v>85</v>
      </c>
      <c r="C23" s="41"/>
      <c r="D23" s="41"/>
      <c r="E23" s="9">
        <f>SUM(E21:E22)</f>
        <v>0</v>
      </c>
      <c r="F23" s="36" t="s">
        <v>3</v>
      </c>
      <c r="G23" s="1"/>
    </row>
    <row r="24" spans="1:7" x14ac:dyDescent="0.25">
      <c r="A24" s="1"/>
      <c r="B24" s="42" t="s">
        <v>10</v>
      </c>
      <c r="C24" s="42"/>
      <c r="D24" s="42"/>
      <c r="E24" s="42"/>
      <c r="F24" s="42"/>
      <c r="G24" s="1"/>
    </row>
    <row r="25" spans="1:7" ht="15" customHeight="1" x14ac:dyDescent="0.25">
      <c r="A25" s="1"/>
      <c r="B25" s="36" t="s">
        <v>18</v>
      </c>
      <c r="C25" s="36"/>
      <c r="D25" s="36"/>
      <c r="E25" s="9">
        <f>'Fane 11. Hist. over-underdæk.'!G14</f>
        <v>-1058854.6216931231</v>
      </c>
      <c r="F25" s="36" t="s">
        <v>3</v>
      </c>
      <c r="G25" s="1"/>
    </row>
    <row r="26" spans="1:7" ht="15" customHeight="1" x14ac:dyDescent="0.25">
      <c r="A26" s="1"/>
      <c r="B26" s="42" t="s">
        <v>150</v>
      </c>
      <c r="C26" s="42"/>
      <c r="D26" s="42"/>
      <c r="E26" s="42"/>
      <c r="F26" s="42"/>
      <c r="G26" s="1"/>
    </row>
    <row r="27" spans="1:7" x14ac:dyDescent="0.25">
      <c r="A27" s="1"/>
      <c r="B27" s="36" t="s">
        <v>151</v>
      </c>
      <c r="C27" s="36"/>
      <c r="D27" s="36"/>
      <c r="E27" s="9">
        <f>'Fane 6. Korrektioner'!E10</f>
        <v>0</v>
      </c>
      <c r="F27" s="36" t="s">
        <v>3</v>
      </c>
      <c r="G27" s="1"/>
    </row>
    <row r="28" spans="1:7" x14ac:dyDescent="0.25">
      <c r="A28" s="1"/>
      <c r="B28" s="42" t="s">
        <v>36</v>
      </c>
      <c r="C28" s="42"/>
      <c r="D28" s="42"/>
      <c r="E28" s="10">
        <f>SUM(E17,E19,E23,E25,E27)</f>
        <v>9138782.2545505092</v>
      </c>
      <c r="F28" s="11" t="s">
        <v>3</v>
      </c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</sheetData>
  <sheetProtection algorithmName="SHA-512" hashValue="k5cw+VEsotSg/2wMZ26sTTXqp00Ms+Iqp2XzZszrgh3q0dthrt8FMZaenU0bHRRBQovAOoBwYxWtsds4bvn2hw==" saltValue="xA8uyOJc39iHPqMivc+9+g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57031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73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67" t="s">
        <v>29</v>
      </c>
      <c r="C5" s="67"/>
      <c r="D5" s="67"/>
      <c r="E5" s="67"/>
      <c r="F5" s="67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2" t="s">
        <v>19</v>
      </c>
      <c r="C8" s="42"/>
      <c r="D8" s="42"/>
      <c r="E8" s="42"/>
      <c r="F8" s="42"/>
      <c r="G8" s="1"/>
    </row>
    <row r="9" spans="1:7" ht="15" customHeight="1" x14ac:dyDescent="0.25">
      <c r="A9" s="1"/>
      <c r="B9" s="38" t="s">
        <v>37</v>
      </c>
      <c r="C9" s="38"/>
      <c r="D9" s="38"/>
      <c r="E9" s="7">
        <f>'Fane 2.1. Økonomisk ramme 2020'!E17</f>
        <v>5931127.435739222</v>
      </c>
      <c r="F9" s="38" t="s">
        <v>3</v>
      </c>
      <c r="G9" s="1"/>
    </row>
    <row r="10" spans="1:7" ht="15" customHeight="1" x14ac:dyDescent="0.25">
      <c r="A10" s="1"/>
      <c r="B10" s="38" t="s">
        <v>161</v>
      </c>
      <c r="C10" s="38"/>
      <c r="D10" s="38"/>
      <c r="E10" s="7">
        <v>85922.777113229051</v>
      </c>
      <c r="F10" s="38" t="s">
        <v>3</v>
      </c>
      <c r="G10" s="1"/>
    </row>
    <row r="11" spans="1:7" ht="15" customHeight="1" x14ac:dyDescent="0.25">
      <c r="A11" s="1"/>
      <c r="B11" s="31" t="s">
        <v>144</v>
      </c>
      <c r="C11" s="38"/>
      <c r="D11" s="38"/>
      <c r="E11" s="7">
        <f>-('Fane 10. Bortfald'!C18+'Fane 10. Bortfald'!E18)</f>
        <v>0</v>
      </c>
      <c r="F11" s="38" t="s">
        <v>3</v>
      </c>
      <c r="G11" s="1"/>
    </row>
    <row r="12" spans="1:7" ht="15" customHeight="1" x14ac:dyDescent="0.25">
      <c r="A12" s="1"/>
      <c r="B12" s="39" t="s">
        <v>26</v>
      </c>
      <c r="C12" s="38"/>
      <c r="D12" s="38"/>
      <c r="E12" s="8">
        <f>SUM(E9:E11)*'Fane 12. Nøgletal'!C12</f>
        <v>118535.88919319327</v>
      </c>
      <c r="F12" s="38" t="s">
        <v>3</v>
      </c>
      <c r="G12" s="1"/>
    </row>
    <row r="13" spans="1:7" ht="15" customHeight="1" x14ac:dyDescent="0.25">
      <c r="A13" s="1"/>
      <c r="B13" s="39" t="s">
        <v>115</v>
      </c>
      <c r="C13" s="38"/>
      <c r="D13" s="38"/>
      <c r="E13" s="8">
        <f>-SUM(E9:E12)*'Fane 12. Nøgletal'!C17</f>
        <v>-104304.96373477596</v>
      </c>
      <c r="F13" s="38" t="s">
        <v>3</v>
      </c>
      <c r="G13" s="1"/>
    </row>
    <row r="14" spans="1:7" ht="15" customHeight="1" x14ac:dyDescent="0.25">
      <c r="A14" s="1"/>
      <c r="B14" s="41" t="s">
        <v>28</v>
      </c>
      <c r="C14" s="41"/>
      <c r="D14" s="41"/>
      <c r="E14" s="9">
        <f>SUM(E9:E13)</f>
        <v>6031281.1383108683</v>
      </c>
      <c r="F14" s="36" t="s">
        <v>3</v>
      </c>
      <c r="G14" s="1"/>
    </row>
    <row r="15" spans="1:7" x14ac:dyDescent="0.25">
      <c r="A15" s="1"/>
      <c r="B15" s="42" t="s">
        <v>16</v>
      </c>
      <c r="C15" s="42"/>
      <c r="D15" s="42"/>
      <c r="E15" s="42"/>
      <c r="F15" s="42"/>
      <c r="G15" s="1"/>
    </row>
    <row r="16" spans="1:7" ht="15" customHeight="1" x14ac:dyDescent="0.25">
      <c r="A16" s="1"/>
      <c r="B16" s="36" t="s">
        <v>16</v>
      </c>
      <c r="C16" s="36"/>
      <c r="D16" s="36"/>
      <c r="E16" s="9">
        <f>'Fane 4. Ikke-påvirkelige omk.'!C13*(1+'Fane 12. Nøgletal'!C12)</f>
        <v>4350559.6764823478</v>
      </c>
      <c r="F16" s="36" t="s">
        <v>3</v>
      </c>
      <c r="G16" s="1"/>
    </row>
    <row r="17" spans="1:7" ht="15" customHeight="1" x14ac:dyDescent="0.25">
      <c r="A17" s="1"/>
      <c r="B17" s="42" t="s">
        <v>84</v>
      </c>
      <c r="C17" s="42"/>
      <c r="D17" s="42"/>
      <c r="E17" s="42"/>
      <c r="F17" s="42"/>
      <c r="G17" s="1"/>
    </row>
    <row r="18" spans="1:7" ht="15" customHeight="1" x14ac:dyDescent="0.25">
      <c r="A18" s="1"/>
      <c r="B18" s="31" t="s">
        <v>80</v>
      </c>
      <c r="C18" s="38"/>
      <c r="D18" s="38"/>
      <c r="E18" s="8">
        <f>'Fane 8.2. Engangstillæg'!C20</f>
        <v>0</v>
      </c>
      <c r="F18" s="38" t="s">
        <v>3</v>
      </c>
      <c r="G18" s="1"/>
    </row>
    <row r="19" spans="1:7" ht="15" customHeight="1" x14ac:dyDescent="0.25">
      <c r="A19" s="1"/>
      <c r="B19" s="31" t="s">
        <v>81</v>
      </c>
      <c r="C19" s="38"/>
      <c r="D19" s="38"/>
      <c r="E19" s="8">
        <f>'Fane 8.2. Engangstillæg'!E20</f>
        <v>0</v>
      </c>
      <c r="F19" s="38" t="s">
        <v>3</v>
      </c>
      <c r="G19" s="1"/>
    </row>
    <row r="20" spans="1:7" ht="15" customHeight="1" x14ac:dyDescent="0.25">
      <c r="A20" s="1"/>
      <c r="B20" s="43" t="s">
        <v>85</v>
      </c>
      <c r="C20" s="41"/>
      <c r="D20" s="41"/>
      <c r="E20" s="9">
        <f>SUM(E18:E19)</f>
        <v>0</v>
      </c>
      <c r="F20" s="36" t="s">
        <v>3</v>
      </c>
      <c r="G20" s="1"/>
    </row>
    <row r="21" spans="1:7" x14ac:dyDescent="0.25">
      <c r="A21" s="1"/>
      <c r="B21" s="42" t="s">
        <v>95</v>
      </c>
      <c r="C21" s="42"/>
      <c r="D21" s="42"/>
      <c r="E21" s="42"/>
      <c r="F21" s="42"/>
      <c r="G21" s="1"/>
    </row>
    <row r="22" spans="1:7" ht="15" customHeight="1" x14ac:dyDescent="0.25">
      <c r="A22" s="1"/>
      <c r="B22" s="36" t="s">
        <v>131</v>
      </c>
      <c r="C22" s="36"/>
      <c r="D22" s="36"/>
      <c r="E22" s="9">
        <f>'Fane 5. Kontrol af ØR2018'!E35</f>
        <v>-31819.388388939071</v>
      </c>
      <c r="F22" s="36" t="s">
        <v>3</v>
      </c>
      <c r="G22" s="1"/>
    </row>
    <row r="23" spans="1:7" x14ac:dyDescent="0.25">
      <c r="A23" s="1"/>
      <c r="B23" s="42" t="s">
        <v>39</v>
      </c>
      <c r="C23" s="42"/>
      <c r="D23" s="42"/>
      <c r="E23" s="10">
        <f>SUM(E14,E16,E20,E22)</f>
        <v>10350021.426404277</v>
      </c>
      <c r="F23" s="11" t="s">
        <v>3</v>
      </c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zq/4k5V/bM5KstGAAEjBzEGz94VO+4RMFIs0AHRv9djy/Bsy5zFcnfiD0csRaLJ1Cndoqm83WA2qrRISWbd+Vw==" saltValue="KEJ82NVNWBXSqNAl0onMmQ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146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67" t="s">
        <v>29</v>
      </c>
      <c r="C5" s="67"/>
      <c r="D5" s="67"/>
      <c r="E5" s="67"/>
      <c r="F5" s="67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42" t="s">
        <v>19</v>
      </c>
      <c r="C7" s="42"/>
      <c r="D7" s="42"/>
      <c r="E7" s="42"/>
      <c r="F7" s="42"/>
      <c r="G7" s="1"/>
    </row>
    <row r="8" spans="1:7" ht="15" customHeight="1" x14ac:dyDescent="0.25">
      <c r="A8" s="1"/>
      <c r="B8" s="38" t="s">
        <v>37</v>
      </c>
      <c r="C8" s="38"/>
      <c r="D8" s="38"/>
      <c r="E8" s="7">
        <f>'Fane 2.2. Økonomisk ramme 2021'!E14</f>
        <v>6031281.1383108683</v>
      </c>
      <c r="F8" s="38" t="s">
        <v>3</v>
      </c>
      <c r="G8" s="1"/>
    </row>
    <row r="9" spans="1:7" ht="15" customHeight="1" x14ac:dyDescent="0.25">
      <c r="A9" s="1"/>
      <c r="B9" s="38" t="s">
        <v>144</v>
      </c>
      <c r="C9" s="38"/>
      <c r="D9" s="38"/>
      <c r="E9" s="7">
        <f>-('Fane 10. Bortfald'!C24+'Fane 10. Bortfald'!E24)</f>
        <v>0</v>
      </c>
      <c r="F9" s="38" t="s">
        <v>3</v>
      </c>
      <c r="G9" s="1"/>
    </row>
    <row r="10" spans="1:7" ht="15" customHeight="1" x14ac:dyDescent="0.25">
      <c r="A10" s="1"/>
      <c r="B10" s="39" t="s">
        <v>26</v>
      </c>
      <c r="C10" s="38"/>
      <c r="D10" s="38"/>
      <c r="E10" s="8">
        <f>SUM(E8:E9)*'Fane 12. Nøgletal'!C12</f>
        <v>118816.2384247241</v>
      </c>
      <c r="F10" s="38" t="s">
        <v>3</v>
      </c>
      <c r="G10" s="1"/>
    </row>
    <row r="11" spans="1:7" ht="15" customHeight="1" x14ac:dyDescent="0.25">
      <c r="A11" s="1"/>
      <c r="B11" s="39" t="s">
        <v>115</v>
      </c>
      <c r="C11" s="38"/>
      <c r="D11" s="38"/>
      <c r="E11" s="8">
        <f>-SUM(E8:E10)*'Fane 12. Nøgletal'!C17</f>
        <v>-104551.65540450507</v>
      </c>
      <c r="F11" s="38" t="s">
        <v>3</v>
      </c>
      <c r="G11" s="1"/>
    </row>
    <row r="12" spans="1:7" x14ac:dyDescent="0.25">
      <c r="A12" s="1"/>
      <c r="B12" s="41" t="s">
        <v>28</v>
      </c>
      <c r="C12" s="41"/>
      <c r="D12" s="41"/>
      <c r="E12" s="9">
        <f>SUM(E8:E11)</f>
        <v>6045545.7213310869</v>
      </c>
      <c r="F12" s="36" t="s">
        <v>3</v>
      </c>
      <c r="G12" s="1"/>
    </row>
    <row r="13" spans="1:7" x14ac:dyDescent="0.25">
      <c r="A13" s="1"/>
      <c r="B13" s="42" t="s">
        <v>16</v>
      </c>
      <c r="C13" s="42"/>
      <c r="D13" s="42"/>
      <c r="E13" s="42"/>
      <c r="F13" s="42"/>
      <c r="G13" s="1"/>
    </row>
    <row r="14" spans="1:7" ht="15" customHeight="1" x14ac:dyDescent="0.25">
      <c r="A14" s="1"/>
      <c r="B14" s="36" t="s">
        <v>16</v>
      </c>
      <c r="C14" s="36"/>
      <c r="D14" s="36"/>
      <c r="E14" s="9">
        <f>'Fane 4. Ikke-påvirkelige omk.'!C13*(1+'Fane 12. Nøgletal'!C12)^2</f>
        <v>4436265.70210905</v>
      </c>
      <c r="F14" s="36" t="s">
        <v>3</v>
      </c>
      <c r="G14" s="1"/>
    </row>
    <row r="15" spans="1:7" ht="15" customHeight="1" x14ac:dyDescent="0.25">
      <c r="A15" s="1"/>
      <c r="B15" s="42" t="s">
        <v>84</v>
      </c>
      <c r="C15" s="42"/>
      <c r="D15" s="42"/>
      <c r="E15" s="42"/>
      <c r="F15" s="42"/>
      <c r="G15" s="1"/>
    </row>
    <row r="16" spans="1:7" ht="15" customHeight="1" x14ac:dyDescent="0.25">
      <c r="A16" s="1"/>
      <c r="B16" s="31" t="s">
        <v>80</v>
      </c>
      <c r="C16" s="38"/>
      <c r="D16" s="38"/>
      <c r="E16" s="8">
        <f>'Fane 8.2. Engangstillæg'!C27</f>
        <v>0</v>
      </c>
      <c r="F16" s="38" t="s">
        <v>3</v>
      </c>
      <c r="G16" s="1"/>
    </row>
    <row r="17" spans="1:7" ht="15" customHeight="1" x14ac:dyDescent="0.25">
      <c r="A17" s="1"/>
      <c r="B17" s="31" t="s">
        <v>81</v>
      </c>
      <c r="C17" s="38"/>
      <c r="D17" s="38"/>
      <c r="E17" s="8">
        <f>'Fane 8.2. Engangstillæg'!E27</f>
        <v>0</v>
      </c>
      <c r="F17" s="38" t="s">
        <v>3</v>
      </c>
      <c r="G17" s="1"/>
    </row>
    <row r="18" spans="1:7" ht="15" customHeight="1" x14ac:dyDescent="0.25">
      <c r="A18" s="1"/>
      <c r="B18" s="43" t="s">
        <v>85</v>
      </c>
      <c r="C18" s="41"/>
      <c r="D18" s="41"/>
      <c r="E18" s="9">
        <f>SUM(E16:E17)</f>
        <v>0</v>
      </c>
      <c r="F18" s="36" t="s">
        <v>3</v>
      </c>
      <c r="G18" s="1"/>
    </row>
    <row r="19" spans="1:7" ht="15" customHeight="1" x14ac:dyDescent="0.25">
      <c r="A19" s="1"/>
      <c r="B19" s="42" t="s">
        <v>95</v>
      </c>
      <c r="C19" s="42"/>
      <c r="D19" s="42"/>
      <c r="E19" s="42"/>
      <c r="F19" s="42"/>
      <c r="G19" s="1"/>
    </row>
    <row r="20" spans="1:7" ht="15" customHeight="1" x14ac:dyDescent="0.25">
      <c r="A20" s="1"/>
      <c r="B20" s="36" t="s">
        <v>131</v>
      </c>
      <c r="C20" s="36"/>
      <c r="D20" s="36"/>
      <c r="E20" s="9">
        <f>'Fane 2.2. Økonomisk ramme 2021'!E22</f>
        <v>-31819.388388939071</v>
      </c>
      <c r="F20" s="36" t="s">
        <v>3</v>
      </c>
      <c r="G20" s="1"/>
    </row>
    <row r="21" spans="1:7" x14ac:dyDescent="0.25">
      <c r="A21" s="1"/>
      <c r="B21" s="42" t="s">
        <v>40</v>
      </c>
      <c r="C21" s="42"/>
      <c r="D21" s="42"/>
      <c r="E21" s="10">
        <f>SUM(E12,E14,E18,E20)</f>
        <v>10449992.035051197</v>
      </c>
      <c r="F21" s="11" t="s">
        <v>3</v>
      </c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rcWTcRmiWek484uqpvKQsgSVd/tBjXuE4Wb7qWdAdwW8Z2Y7flj5BWcwPty1gCaefC4dij07S3qsBkfSPdiu8g==" saltValue="/eldb6iwyiK+og4TEHSi7g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145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67" t="s">
        <v>29</v>
      </c>
      <c r="C5" s="67"/>
      <c r="D5" s="67"/>
      <c r="E5" s="67"/>
      <c r="F5" s="67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42" t="s">
        <v>19</v>
      </c>
      <c r="C7" s="42"/>
      <c r="D7" s="42"/>
      <c r="E7" s="42"/>
      <c r="F7" s="42"/>
      <c r="G7" s="1"/>
    </row>
    <row r="8" spans="1:7" ht="15" customHeight="1" x14ac:dyDescent="0.25">
      <c r="A8" s="1"/>
      <c r="B8" s="38" t="s">
        <v>38</v>
      </c>
      <c r="C8" s="38"/>
      <c r="D8" s="38"/>
      <c r="E8" s="7">
        <f>'Fane 2.3. Økonomisk ramme 2022'!E12</f>
        <v>6045545.7213310869</v>
      </c>
      <c r="F8" s="38" t="s">
        <v>3</v>
      </c>
      <c r="G8" s="1"/>
    </row>
    <row r="9" spans="1:7" ht="15" customHeight="1" x14ac:dyDescent="0.25">
      <c r="A9" s="1"/>
      <c r="B9" s="38" t="s">
        <v>144</v>
      </c>
      <c r="C9" s="38"/>
      <c r="D9" s="38"/>
      <c r="E9" s="7">
        <f>-('Fane 10. Bortfald'!C30+'Fane 10. Bortfald'!E30)</f>
        <v>0</v>
      </c>
      <c r="F9" s="38" t="s">
        <v>3</v>
      </c>
      <c r="G9" s="1"/>
    </row>
    <row r="10" spans="1:7" ht="15" customHeight="1" x14ac:dyDescent="0.25">
      <c r="A10" s="1"/>
      <c r="B10" s="39" t="s">
        <v>26</v>
      </c>
      <c r="C10" s="38"/>
      <c r="D10" s="38"/>
      <c r="E10" s="8">
        <f>E8*'Fane 12. Nøgletal'!C12</f>
        <v>119097.2507102224</v>
      </c>
      <c r="F10" s="38" t="s">
        <v>3</v>
      </c>
      <c r="G10" s="1"/>
    </row>
    <row r="11" spans="1:7" ht="15" customHeight="1" x14ac:dyDescent="0.25">
      <c r="A11" s="1"/>
      <c r="B11" s="39" t="s">
        <v>115</v>
      </c>
      <c r="C11" s="38"/>
      <c r="D11" s="38"/>
      <c r="E11" s="8">
        <f>-SUM(E8:E10)*'Fane 12. Nøgletal'!C17</f>
        <v>-104798.93052470226</v>
      </c>
      <c r="F11" s="38" t="s">
        <v>3</v>
      </c>
      <c r="G11" s="1"/>
    </row>
    <row r="12" spans="1:7" x14ac:dyDescent="0.25">
      <c r="A12" s="1"/>
      <c r="B12" s="41" t="s">
        <v>28</v>
      </c>
      <c r="C12" s="41"/>
      <c r="D12" s="41"/>
      <c r="E12" s="9">
        <f>SUM(E8:E11)</f>
        <v>6059844.0415166067</v>
      </c>
      <c r="F12" s="36" t="s">
        <v>3</v>
      </c>
      <c r="G12" s="1"/>
    </row>
    <row r="13" spans="1:7" x14ac:dyDescent="0.25">
      <c r="A13" s="1"/>
      <c r="B13" s="42" t="s">
        <v>16</v>
      </c>
      <c r="C13" s="42"/>
      <c r="D13" s="42"/>
      <c r="E13" s="42"/>
      <c r="F13" s="42"/>
      <c r="G13" s="1"/>
    </row>
    <row r="14" spans="1:7" ht="15" customHeight="1" x14ac:dyDescent="0.25">
      <c r="A14" s="1"/>
      <c r="B14" s="36" t="s">
        <v>16</v>
      </c>
      <c r="C14" s="36"/>
      <c r="D14" s="36"/>
      <c r="E14" s="9">
        <f>'Fane 4. Ikke-påvirkelige omk.'!C13*(1+'Fane 12. Nøgletal'!C12)^3</f>
        <v>4523660.1364405975</v>
      </c>
      <c r="F14" s="36" t="s">
        <v>3</v>
      </c>
      <c r="G14" s="1"/>
    </row>
    <row r="15" spans="1:7" ht="15" customHeight="1" x14ac:dyDescent="0.25">
      <c r="A15" s="1"/>
      <c r="B15" s="42" t="s">
        <v>84</v>
      </c>
      <c r="C15" s="42"/>
      <c r="D15" s="42"/>
      <c r="E15" s="42"/>
      <c r="F15" s="42"/>
      <c r="G15" s="1"/>
    </row>
    <row r="16" spans="1:7" ht="15" customHeight="1" x14ac:dyDescent="0.25">
      <c r="A16" s="1"/>
      <c r="B16" s="31" t="s">
        <v>80</v>
      </c>
      <c r="C16" s="38"/>
      <c r="D16" s="38"/>
      <c r="E16" s="8">
        <f>'Fane 8.2. Engangstillæg'!C34</f>
        <v>0</v>
      </c>
      <c r="F16" s="38" t="s">
        <v>3</v>
      </c>
      <c r="G16" s="1"/>
    </row>
    <row r="17" spans="1:7" ht="15" customHeight="1" x14ac:dyDescent="0.25">
      <c r="A17" s="1"/>
      <c r="B17" s="31" t="s">
        <v>81</v>
      </c>
      <c r="C17" s="38"/>
      <c r="D17" s="38"/>
      <c r="E17" s="8">
        <f>'Fane 8.2. Engangstillæg'!E34</f>
        <v>0</v>
      </c>
      <c r="F17" s="38" t="s">
        <v>3</v>
      </c>
      <c r="G17" s="1"/>
    </row>
    <row r="18" spans="1:7" ht="15" customHeight="1" x14ac:dyDescent="0.25">
      <c r="A18" s="1"/>
      <c r="B18" s="43" t="s">
        <v>85</v>
      </c>
      <c r="C18" s="41"/>
      <c r="D18" s="41"/>
      <c r="E18" s="9">
        <f>SUM(E16:E17)</f>
        <v>0</v>
      </c>
      <c r="F18" s="36" t="s">
        <v>3</v>
      </c>
      <c r="G18" s="1"/>
    </row>
    <row r="19" spans="1:7" ht="15" customHeight="1" x14ac:dyDescent="0.25">
      <c r="A19" s="1"/>
      <c r="B19" s="42" t="s">
        <v>95</v>
      </c>
      <c r="C19" s="42"/>
      <c r="D19" s="42"/>
      <c r="E19" s="42"/>
      <c r="F19" s="42"/>
      <c r="G19" s="1"/>
    </row>
    <row r="20" spans="1:7" ht="15" customHeight="1" x14ac:dyDescent="0.25">
      <c r="A20" s="1"/>
      <c r="B20" s="36" t="s">
        <v>131</v>
      </c>
      <c r="C20" s="36"/>
      <c r="D20" s="36"/>
      <c r="E20" s="9">
        <f>'Fane 2.3. Økonomisk ramme 2022'!E20</f>
        <v>-31819.388388939071</v>
      </c>
      <c r="F20" s="36" t="s">
        <v>3</v>
      </c>
      <c r="G20" s="1"/>
    </row>
    <row r="21" spans="1:7" x14ac:dyDescent="0.25">
      <c r="A21" s="1"/>
      <c r="B21" s="42" t="s">
        <v>89</v>
      </c>
      <c r="C21" s="42"/>
      <c r="D21" s="42"/>
      <c r="E21" s="10">
        <f>SUM(E12,E14,E18,E20)</f>
        <v>10551684.789568264</v>
      </c>
      <c r="F21" s="11" t="s">
        <v>3</v>
      </c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v79x09/kaVs25ZIZXIiIRk6OpM8hJN+uS8QfbdmFrbHGEGoBSXa33sTosraPVd5hs/kJVRlTvzjOUOI/3S8Pfg==" saltValue="xAQwW/ymD8IoCTAoPf46Gg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39.85546875" style="2" customWidth="1"/>
    <col min="5" max="5" width="9.5703125" style="2" bestFit="1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1" t="s">
        <v>138</v>
      </c>
      <c r="C3" s="71"/>
      <c r="D3" s="71"/>
      <c r="E3" s="71"/>
      <c r="F3" s="71"/>
      <c r="G3" s="1"/>
    </row>
    <row r="4" spans="1:7" ht="29.25" customHeight="1" x14ac:dyDescent="0.25">
      <c r="A4" s="1"/>
      <c r="B4" s="71"/>
      <c r="C4" s="71"/>
      <c r="D4" s="71"/>
      <c r="E4" s="71"/>
      <c r="F4" s="7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2" t="s">
        <v>72</v>
      </c>
      <c r="C8" s="42"/>
      <c r="D8" s="42"/>
      <c r="E8" s="42"/>
      <c r="F8" s="42"/>
      <c r="G8" s="1"/>
    </row>
    <row r="9" spans="1:7" x14ac:dyDescent="0.25">
      <c r="A9" s="1"/>
      <c r="B9" s="72" t="s">
        <v>70</v>
      </c>
      <c r="C9" s="72"/>
      <c r="D9" s="72"/>
      <c r="E9" s="7">
        <v>5985061.2565301564</v>
      </c>
      <c r="F9" s="38" t="s">
        <v>3</v>
      </c>
      <c r="G9" s="1"/>
    </row>
    <row r="10" spans="1:7" x14ac:dyDescent="0.25">
      <c r="A10" s="1"/>
      <c r="B10" s="74" t="s">
        <v>140</v>
      </c>
      <c r="C10" s="74"/>
      <c r="D10" s="74"/>
      <c r="E10" s="7">
        <v>0</v>
      </c>
      <c r="F10" s="38" t="s">
        <v>3</v>
      </c>
      <c r="G10" s="1"/>
    </row>
    <row r="11" spans="1:7" x14ac:dyDescent="0.25">
      <c r="A11" s="1"/>
      <c r="B11" s="73" t="s">
        <v>141</v>
      </c>
      <c r="C11" s="73"/>
      <c r="D11" s="73"/>
      <c r="E11" s="7">
        <v>0</v>
      </c>
      <c r="F11" s="38" t="s">
        <v>3</v>
      </c>
      <c r="G11" s="1"/>
    </row>
    <row r="12" spans="1:7" x14ac:dyDescent="0.25">
      <c r="A12" s="1"/>
      <c r="B12" s="73" t="s">
        <v>142</v>
      </c>
      <c r="C12" s="73"/>
      <c r="D12" s="73"/>
      <c r="E12" s="8">
        <v>0</v>
      </c>
      <c r="F12" s="38" t="s">
        <v>3</v>
      </c>
      <c r="G12" s="1"/>
    </row>
    <row r="13" spans="1:7" x14ac:dyDescent="0.25">
      <c r="A13" s="1"/>
      <c r="B13" s="73" t="s">
        <v>26</v>
      </c>
      <c r="C13" s="73"/>
      <c r="D13" s="73"/>
      <c r="E13" s="8">
        <f>(SUM(E9:E9)-SUM(E10:E10))*'Fane 12. Nøgletal'!C9+SUM(E10:E10)*'Fane 12. Nøgletal'!C10+SUM(E11:E12)*'Fane 12. Nøgletal'!C11</f>
        <v>76010.27795793298</v>
      </c>
      <c r="F13" s="38" t="s">
        <v>3</v>
      </c>
      <c r="G13" s="1"/>
    </row>
    <row r="14" spans="1:7" x14ac:dyDescent="0.25">
      <c r="A14" s="1"/>
      <c r="B14" s="73" t="s">
        <v>115</v>
      </c>
      <c r="C14" s="73"/>
      <c r="D14" s="73"/>
      <c r="E14" s="8">
        <f>-SUM(E9:E9,E11:E13)*'Fane 12. Nøgletal'!C17</f>
        <v>-103038.21608629753</v>
      </c>
      <c r="F14" s="38" t="s">
        <v>3</v>
      </c>
      <c r="G14" s="1"/>
    </row>
    <row r="15" spans="1:7" x14ac:dyDescent="0.25">
      <c r="A15" s="1"/>
      <c r="B15" s="75" t="s">
        <v>28</v>
      </c>
      <c r="C15" s="75"/>
      <c r="D15" s="75"/>
      <c r="E15" s="9">
        <f>SUM(E9,E11:E14)</f>
        <v>5958033.3184017921</v>
      </c>
      <c r="F15" s="36" t="s">
        <v>3</v>
      </c>
      <c r="G15" s="1"/>
    </row>
    <row r="16" spans="1:7" x14ac:dyDescent="0.25">
      <c r="A16" s="1"/>
      <c r="B16" s="76" t="s">
        <v>16</v>
      </c>
      <c r="C16" s="76"/>
      <c r="D16" s="76"/>
      <c r="E16" s="42"/>
      <c r="F16" s="42"/>
      <c r="G16" s="1"/>
    </row>
    <row r="17" spans="1:7" x14ac:dyDescent="0.25">
      <c r="A17" s="1"/>
      <c r="B17" s="70" t="s">
        <v>16</v>
      </c>
      <c r="C17" s="70"/>
      <c r="D17" s="70"/>
      <c r="E17" s="9">
        <v>3973736.614169939</v>
      </c>
      <c r="F17" s="36" t="s">
        <v>3</v>
      </c>
      <c r="G17" s="1"/>
    </row>
    <row r="18" spans="1:7" x14ac:dyDescent="0.25">
      <c r="A18" s="1"/>
      <c r="B18" s="42" t="s">
        <v>71</v>
      </c>
      <c r="C18" s="42"/>
      <c r="D18" s="42"/>
      <c r="E18" s="42"/>
      <c r="F18" s="42"/>
      <c r="G18" s="1"/>
    </row>
    <row r="19" spans="1:7" ht="27" customHeight="1" x14ac:dyDescent="0.25">
      <c r="A19" s="1"/>
      <c r="B19" s="69" t="s">
        <v>74</v>
      </c>
      <c r="C19" s="69"/>
      <c r="D19" s="69"/>
      <c r="E19" s="9">
        <v>20156.439422323521</v>
      </c>
      <c r="F19" s="36" t="s">
        <v>3</v>
      </c>
      <c r="G19" s="1"/>
    </row>
    <row r="20" spans="1:7" x14ac:dyDescent="0.25">
      <c r="A20" s="1"/>
      <c r="B20" s="42" t="s">
        <v>10</v>
      </c>
      <c r="C20" s="42"/>
      <c r="D20" s="42"/>
      <c r="E20" s="42"/>
      <c r="F20" s="42"/>
      <c r="G20" s="1"/>
    </row>
    <row r="21" spans="1:7" x14ac:dyDescent="0.25">
      <c r="A21" s="1"/>
      <c r="B21" s="70" t="s">
        <v>18</v>
      </c>
      <c r="C21" s="70"/>
      <c r="D21" s="70"/>
      <c r="E21" s="9">
        <v>-1058854</v>
      </c>
      <c r="F21" s="36" t="s">
        <v>3</v>
      </c>
      <c r="G21" s="1"/>
    </row>
    <row r="22" spans="1:7" x14ac:dyDescent="0.25">
      <c r="A22" s="1"/>
      <c r="B22" s="42" t="s">
        <v>23</v>
      </c>
      <c r="C22" s="42"/>
      <c r="D22" s="42"/>
      <c r="E22" s="10">
        <f>SUM(E21,E19,E17,E15)</f>
        <v>8893072.3719940539</v>
      </c>
      <c r="F22" s="11" t="s">
        <v>3</v>
      </c>
      <c r="G22" s="1"/>
    </row>
    <row r="23" spans="1:7" ht="28.5" customHeight="1" x14ac:dyDescent="0.25">
      <c r="A23" s="1"/>
      <c r="B23" s="68" t="s">
        <v>118</v>
      </c>
      <c r="C23" s="68"/>
      <c r="D23" s="68"/>
      <c r="E23" s="68"/>
      <c r="F23" s="68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MdfT2v0XU1gHj2gw+oO1Li8rRx/PVpxO6QCubCwinycCw7TC0Yw/RRvNSY558heFmhaqND/Cw7j1ffftVbaYbA==" saltValue="ovjbWvytPHMk9goQJ1Z7xw==" spinCount="100000" sheet="1" objects="1" scenarios="1"/>
  <mergeCells count="13">
    <mergeCell ref="B23:F23"/>
    <mergeCell ref="B19:D19"/>
    <mergeCell ref="B21:D21"/>
    <mergeCell ref="B3:F4"/>
    <mergeCell ref="B9:D9"/>
    <mergeCell ref="B11:D11"/>
    <mergeCell ref="B10:D10"/>
    <mergeCell ref="B12:D12"/>
    <mergeCell ref="B13:D13"/>
    <mergeCell ref="B14:D14"/>
    <mergeCell ref="B15:D15"/>
    <mergeCell ref="B16:D16"/>
    <mergeCell ref="B17:D17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49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66" t="s">
        <v>110</v>
      </c>
      <c r="C3" s="66"/>
      <c r="D3" s="66"/>
      <c r="E3" s="1"/>
      <c r="F3" s="1"/>
    </row>
    <row r="4" spans="1:6" ht="15" customHeight="1" x14ac:dyDescent="0.25">
      <c r="A4" s="1"/>
      <c r="B4" s="66"/>
      <c r="C4" s="66"/>
      <c r="D4" s="66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77" t="s">
        <v>58</v>
      </c>
      <c r="C8" s="78"/>
      <c r="D8" s="79"/>
      <c r="E8" s="1"/>
      <c r="F8" s="1"/>
    </row>
    <row r="9" spans="1:6" ht="15" customHeight="1" x14ac:dyDescent="0.25">
      <c r="A9" s="1"/>
      <c r="B9" s="19" t="s">
        <v>43</v>
      </c>
      <c r="C9" s="36" t="s">
        <v>59</v>
      </c>
      <c r="D9" s="36"/>
      <c r="E9" s="1"/>
      <c r="F9" s="1"/>
    </row>
    <row r="10" spans="1:6" x14ac:dyDescent="0.25">
      <c r="A10" s="1"/>
      <c r="B10" s="30" t="s">
        <v>147</v>
      </c>
      <c r="C10" s="8">
        <v>4095299</v>
      </c>
      <c r="D10" s="12" t="s">
        <v>3</v>
      </c>
      <c r="E10" s="1"/>
      <c r="F10" s="1"/>
    </row>
    <row r="11" spans="1:6" x14ac:dyDescent="0.25">
      <c r="A11" s="1"/>
      <c r="B11" s="30" t="s">
        <v>148</v>
      </c>
      <c r="C11" s="8">
        <v>7950</v>
      </c>
      <c r="D11" s="12" t="s">
        <v>3</v>
      </c>
      <c r="E11" s="1"/>
      <c r="F11" s="1"/>
    </row>
    <row r="12" spans="1:6" x14ac:dyDescent="0.25">
      <c r="A12" s="1"/>
      <c r="B12" s="46" t="s">
        <v>60</v>
      </c>
      <c r="C12" s="10">
        <f>SUM(C10:C11)</f>
        <v>4103249</v>
      </c>
      <c r="D12" s="11" t="s">
        <v>3</v>
      </c>
      <c r="E12" s="1"/>
      <c r="F12" s="1"/>
    </row>
    <row r="13" spans="1:6" x14ac:dyDescent="0.25">
      <c r="A13" s="1"/>
      <c r="B13" s="46" t="s">
        <v>61</v>
      </c>
      <c r="C13" s="10">
        <f>C12*(1+'Fane 12. Nøgletal'!C12)^2</f>
        <v>4266509.4405044103</v>
      </c>
      <c r="D13" s="11" t="s">
        <v>3</v>
      </c>
      <c r="E13" s="1"/>
      <c r="F13" s="1"/>
    </row>
    <row r="14" spans="1:6" x14ac:dyDescent="0.25">
      <c r="A14" s="1"/>
      <c r="B14" s="14"/>
      <c r="C14" s="13"/>
      <c r="D14" s="13"/>
      <c r="E14" s="1"/>
      <c r="F14" s="1"/>
    </row>
    <row r="15" spans="1:6" x14ac:dyDescent="0.25">
      <c r="A15" s="1"/>
      <c r="B15" s="14"/>
      <c r="C15" s="13"/>
      <c r="D15" s="13"/>
      <c r="E15" s="1"/>
      <c r="F15" s="1"/>
    </row>
    <row r="16" spans="1:6" x14ac:dyDescent="0.25">
      <c r="A16" s="1"/>
      <c r="B16" s="1"/>
      <c r="C16" s="1"/>
      <c r="D16" s="1"/>
      <c r="E16" s="1"/>
      <c r="F16" s="1"/>
    </row>
    <row r="17" spans="1:6" x14ac:dyDescent="0.25">
      <c r="A17" s="1"/>
      <c r="B17" s="1"/>
      <c r="C17" s="1"/>
      <c r="D17" s="1"/>
      <c r="E17" s="1"/>
      <c r="F17" s="1"/>
    </row>
    <row r="18" spans="1:6" x14ac:dyDescent="0.25">
      <c r="A18" s="1"/>
      <c r="B18" s="1"/>
      <c r="C18" s="1"/>
      <c r="D18" s="1"/>
      <c r="E18" s="1"/>
      <c r="F18" s="1"/>
    </row>
    <row r="19" spans="1:6" x14ac:dyDescent="0.25">
      <c r="A19" s="1"/>
      <c r="B19" s="1"/>
      <c r="C19" s="1"/>
      <c r="D19" s="1"/>
      <c r="E19" s="1"/>
      <c r="F19" s="1"/>
    </row>
    <row r="20" spans="1:6" x14ac:dyDescent="0.25">
      <c r="A20" s="1"/>
      <c r="B20" s="1"/>
      <c r="C20" s="1"/>
      <c r="D20" s="1"/>
      <c r="E20" s="1"/>
      <c r="F20" s="1"/>
    </row>
    <row r="21" spans="1:6" x14ac:dyDescent="0.25">
      <c r="A21" s="1"/>
      <c r="B21" s="1"/>
      <c r="C21" s="1"/>
      <c r="D21" s="1"/>
      <c r="E21" s="1"/>
      <c r="F21" s="1"/>
    </row>
    <row r="22" spans="1:6" x14ac:dyDescent="0.25">
      <c r="A22" s="1"/>
      <c r="B22" s="1"/>
      <c r="C22" s="1"/>
      <c r="D22" s="1"/>
      <c r="E22" s="1"/>
      <c r="F22" s="1"/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1"/>
      <c r="C27" s="1"/>
      <c r="D27" s="1"/>
      <c r="E27" s="1"/>
      <c r="F27" s="1"/>
    </row>
    <row r="28" spans="1:6" x14ac:dyDescent="0.25">
      <c r="A28" s="1"/>
      <c r="B28" s="1"/>
      <c r="C28" s="1"/>
      <c r="D28" s="1"/>
      <c r="E28" s="1"/>
      <c r="F28" s="1"/>
    </row>
    <row r="29" spans="1:6" x14ac:dyDescent="0.25">
      <c r="A29" s="1"/>
      <c r="B29" s="1"/>
      <c r="C29" s="1"/>
      <c r="D29" s="1"/>
      <c r="E29" s="1"/>
      <c r="F29" s="1"/>
    </row>
    <row r="30" spans="1:6" x14ac:dyDescent="0.25">
      <c r="A30" s="1"/>
      <c r="B30" s="1"/>
      <c r="C30" s="1"/>
      <c r="D30" s="1"/>
      <c r="E30" s="1"/>
      <c r="F30" s="1"/>
    </row>
    <row r="31" spans="1:6" x14ac:dyDescent="0.25">
      <c r="A31" s="1"/>
      <c r="B31" s="1"/>
      <c r="C31" s="1"/>
      <c r="D31" s="1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</sheetData>
  <sheetProtection algorithmName="SHA-512" hashValue="dAQgvTFR5tbk3aFcIkQ2Y6A+RMwXs5YZf5/FNao2djXaRkAIfP2KfImlFW+wjLYnyUrIKtNEga7Jktoyy/9b9Q==" saltValue="/CSTkaqVQgGjxNXk+VzqFg==" spinCount="100000" sheet="1" objects="1" scenarios="1"/>
  <mergeCells count="2">
    <mergeCell ref="B3:D4"/>
    <mergeCell ref="B8:D8"/>
  </mergeCells>
  <pageMargins left="0.75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2851562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71" t="s">
        <v>119</v>
      </c>
      <c r="C3" s="71"/>
      <c r="D3" s="71"/>
      <c r="E3" s="71"/>
      <c r="F3" s="71"/>
      <c r="G3" s="1"/>
    </row>
    <row r="4" spans="1:7" ht="15" customHeight="1" x14ac:dyDescent="0.25">
      <c r="A4" s="1"/>
      <c r="B4" s="71"/>
      <c r="C4" s="71"/>
      <c r="D4" s="71"/>
      <c r="E4" s="71"/>
      <c r="F4" s="71"/>
      <c r="G4" s="1"/>
    </row>
    <row r="5" spans="1:7" ht="15" customHeight="1" x14ac:dyDescent="0.25">
      <c r="A5" s="1"/>
      <c r="B5" s="37"/>
      <c r="C5" s="37"/>
      <c r="D5" s="37"/>
      <c r="E5" s="37"/>
      <c r="F5" s="37"/>
      <c r="G5" s="1"/>
    </row>
    <row r="6" spans="1:7" ht="15" customHeight="1" x14ac:dyDescent="0.25">
      <c r="A6" s="1"/>
      <c r="B6" s="80" t="s">
        <v>47</v>
      </c>
      <c r="C6" s="80"/>
      <c r="D6" s="80"/>
      <c r="E6" s="80"/>
      <c r="F6" s="80"/>
      <c r="G6" s="1"/>
    </row>
    <row r="7" spans="1:7" ht="15" customHeight="1" x14ac:dyDescent="0.25">
      <c r="A7" s="1"/>
      <c r="B7" s="81" t="s">
        <v>45</v>
      </c>
      <c r="C7" s="81"/>
      <c r="D7" s="81"/>
      <c r="E7" s="8">
        <v>29259.565000000002</v>
      </c>
      <c r="F7" s="12" t="s">
        <v>3</v>
      </c>
      <c r="G7" s="1"/>
    </row>
    <row r="8" spans="1:7" ht="15" customHeight="1" x14ac:dyDescent="0.25">
      <c r="A8" s="1"/>
      <c r="B8" s="81" t="s">
        <v>46</v>
      </c>
      <c r="C8" s="81"/>
      <c r="D8" s="81"/>
      <c r="E8" s="8">
        <v>152981.27735518292</v>
      </c>
      <c r="F8" s="12" t="s">
        <v>3</v>
      </c>
      <c r="G8" s="1"/>
    </row>
    <row r="9" spans="1:7" ht="15" customHeight="1" x14ac:dyDescent="0.25">
      <c r="A9" s="1"/>
      <c r="B9" s="83" t="s">
        <v>129</v>
      </c>
      <c r="C9" s="84"/>
      <c r="D9" s="85"/>
      <c r="E9" s="9">
        <f>SUM(E7:E8)</f>
        <v>182240.84235518292</v>
      </c>
      <c r="F9" s="15" t="s">
        <v>3</v>
      </c>
      <c r="G9" s="1"/>
    </row>
    <row r="10" spans="1:7" ht="15" customHeight="1" x14ac:dyDescent="0.25">
      <c r="A10" s="1"/>
      <c r="B10" s="77"/>
      <c r="C10" s="78"/>
      <c r="D10" s="78"/>
      <c r="E10" s="78"/>
      <c r="F10" s="79"/>
      <c r="G10" s="1"/>
    </row>
    <row r="11" spans="1:7" ht="27" customHeight="1" x14ac:dyDescent="0.25">
      <c r="A11" s="1"/>
      <c r="B11" s="68" t="s">
        <v>113</v>
      </c>
      <c r="C11" s="68"/>
      <c r="D11" s="68"/>
      <c r="E11" s="68"/>
      <c r="F11" s="68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80" t="s">
        <v>99</v>
      </c>
      <c r="C14" s="80"/>
      <c r="D14" s="80"/>
      <c r="E14" s="80"/>
      <c r="F14" s="80"/>
      <c r="G14" s="1"/>
    </row>
    <row r="15" spans="1:7" x14ac:dyDescent="0.25">
      <c r="A15" s="1"/>
      <c r="B15" s="81" t="s">
        <v>100</v>
      </c>
      <c r="C15" s="81"/>
      <c r="D15" s="81"/>
      <c r="E15" s="8">
        <v>9494491.1857273001</v>
      </c>
      <c r="F15" s="12" t="s">
        <v>3</v>
      </c>
      <c r="G15" s="1"/>
    </row>
    <row r="16" spans="1:7" x14ac:dyDescent="0.25">
      <c r="A16" s="1"/>
      <c r="B16" s="81" t="s">
        <v>101</v>
      </c>
      <c r="C16" s="81"/>
      <c r="D16" s="81"/>
      <c r="E16" s="8">
        <v>9629773</v>
      </c>
      <c r="F16" s="12" t="s">
        <v>3</v>
      </c>
      <c r="G16" s="1"/>
    </row>
    <row r="17" spans="1:7" x14ac:dyDescent="0.25">
      <c r="A17" s="1"/>
      <c r="B17" s="81" t="s">
        <v>44</v>
      </c>
      <c r="C17" s="81"/>
      <c r="D17" s="81"/>
      <c r="E17" s="8">
        <v>0</v>
      </c>
      <c r="F17" s="12" t="s">
        <v>3</v>
      </c>
      <c r="G17" s="1"/>
    </row>
    <row r="18" spans="1:7" x14ac:dyDescent="0.25">
      <c r="A18" s="1"/>
      <c r="B18" s="82" t="s">
        <v>130</v>
      </c>
      <c r="C18" s="82"/>
      <c r="D18" s="82"/>
      <c r="E18" s="9">
        <f>E15-(E16-E17)</f>
        <v>-135281.81427269988</v>
      </c>
      <c r="F18" s="15" t="s">
        <v>3</v>
      </c>
      <c r="G18" s="1"/>
    </row>
    <row r="19" spans="1:7" x14ac:dyDescent="0.25">
      <c r="A19" s="1"/>
      <c r="B19" s="86"/>
      <c r="C19" s="87"/>
      <c r="D19" s="87"/>
      <c r="E19" s="87"/>
      <c r="F19" s="88"/>
      <c r="G19" s="1"/>
    </row>
    <row r="20" spans="1:7" ht="28.5" customHeight="1" x14ac:dyDescent="0.25">
      <c r="A20" s="1"/>
      <c r="B20" s="68" t="s">
        <v>112</v>
      </c>
      <c r="C20" s="68"/>
      <c r="D20" s="68"/>
      <c r="E20" s="68"/>
      <c r="F20" s="68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80" t="s">
        <v>66</v>
      </c>
      <c r="C23" s="80"/>
      <c r="D23" s="80"/>
      <c r="E23" s="80"/>
      <c r="F23" s="80"/>
      <c r="G23" s="1"/>
    </row>
    <row r="24" spans="1:7" x14ac:dyDescent="0.25">
      <c r="A24" s="1"/>
      <c r="B24" s="81" t="s">
        <v>67</v>
      </c>
      <c r="C24" s="81"/>
      <c r="D24" s="81"/>
      <c r="E24" s="8">
        <v>8967207.4183617607</v>
      </c>
      <c r="F24" s="12" t="s">
        <v>3</v>
      </c>
      <c r="G24" s="1"/>
    </row>
    <row r="25" spans="1:7" x14ac:dyDescent="0.25">
      <c r="A25" s="1"/>
      <c r="B25" s="81" t="s">
        <v>68</v>
      </c>
      <c r="C25" s="81"/>
      <c r="D25" s="81"/>
      <c r="E25" s="8">
        <v>9141444</v>
      </c>
      <c r="F25" s="12" t="s">
        <v>3</v>
      </c>
      <c r="G25" s="1"/>
    </row>
    <row r="26" spans="1:7" x14ac:dyDescent="0.25">
      <c r="A26" s="1"/>
      <c r="B26" s="81" t="s">
        <v>44</v>
      </c>
      <c r="C26" s="81"/>
      <c r="D26" s="81"/>
      <c r="E26" s="8">
        <v>0</v>
      </c>
      <c r="F26" s="12" t="s">
        <v>3</v>
      </c>
      <c r="G26" s="1"/>
    </row>
    <row r="27" spans="1:7" x14ac:dyDescent="0.25">
      <c r="A27" s="1"/>
      <c r="B27" s="82" t="s">
        <v>130</v>
      </c>
      <c r="C27" s="82"/>
      <c r="D27" s="82"/>
      <c r="E27" s="9">
        <f>E24-(E25-E26)</f>
        <v>-174236.58163823932</v>
      </c>
      <c r="F27" s="15" t="s">
        <v>3</v>
      </c>
      <c r="G27" s="1"/>
    </row>
    <row r="28" spans="1:7" x14ac:dyDescent="0.25">
      <c r="A28" s="1"/>
      <c r="B28" s="77"/>
      <c r="C28" s="78"/>
      <c r="D28" s="78"/>
      <c r="E28" s="78"/>
      <c r="F28" s="79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80" t="s">
        <v>114</v>
      </c>
      <c r="C31" s="80"/>
      <c r="D31" s="80"/>
      <c r="E31" s="80"/>
      <c r="F31" s="80"/>
      <c r="G31" s="1"/>
    </row>
    <row r="32" spans="1:7" x14ac:dyDescent="0.25">
      <c r="A32" s="1"/>
      <c r="B32" s="74" t="s">
        <v>47</v>
      </c>
      <c r="C32" s="74"/>
      <c r="D32" s="74"/>
      <c r="E32" s="8">
        <f>E9</f>
        <v>182240.84235518292</v>
      </c>
      <c r="F32" s="12" t="s">
        <v>3</v>
      </c>
      <c r="G32" s="1"/>
    </row>
    <row r="33" spans="1:7" x14ac:dyDescent="0.25">
      <c r="A33" s="1"/>
      <c r="B33" s="74" t="s">
        <v>128</v>
      </c>
      <c r="C33" s="74"/>
      <c r="D33" s="74"/>
      <c r="E33" s="8">
        <f>IF(E18+E27&lt;0,E18+E27,0)</f>
        <v>-309518.3959109392</v>
      </c>
      <c r="F33" s="12" t="s">
        <v>3</v>
      </c>
      <c r="G33" s="1"/>
    </row>
    <row r="34" spans="1:7" x14ac:dyDescent="0.25">
      <c r="A34" s="1"/>
      <c r="B34" s="74" t="s">
        <v>122</v>
      </c>
      <c r="C34" s="74"/>
      <c r="D34" s="74"/>
      <c r="E34" s="8">
        <v>4</v>
      </c>
      <c r="F34" s="12" t="s">
        <v>27</v>
      </c>
      <c r="G34" s="1"/>
    </row>
    <row r="35" spans="1:7" x14ac:dyDescent="0.25">
      <c r="A35" s="1"/>
      <c r="B35" s="82" t="s">
        <v>152</v>
      </c>
      <c r="C35" s="82"/>
      <c r="D35" s="82"/>
      <c r="E35" s="9">
        <f>SUM(E32:E33)/E34</f>
        <v>-31819.388388939071</v>
      </c>
      <c r="F35" s="15" t="s">
        <v>3</v>
      </c>
      <c r="G35" s="1"/>
    </row>
    <row r="36" spans="1:7" x14ac:dyDescent="0.25">
      <c r="A36" s="1"/>
      <c r="B36" s="80"/>
      <c r="C36" s="80"/>
      <c r="D36" s="80"/>
      <c r="E36" s="80"/>
      <c r="F36" s="80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algorithmName="SHA-512" hashValue="2vNMa6Ek6z9KAIL2OyrP3/SB5SNjjfzBLeYgx57HzwJwDrDqfcyo7ieLYHvH/jWNDkexW5GoC1SBgf72XMieTA==" saltValue="7U24OicSBx32VV4cpylBEw==" spinCount="100000" sheet="1" objects="1" scenarios="1"/>
  <mergeCells count="26">
    <mergeCell ref="B36:F36"/>
    <mergeCell ref="B8:D8"/>
    <mergeCell ref="B31:F31"/>
    <mergeCell ref="B33:D33"/>
    <mergeCell ref="B34:D34"/>
    <mergeCell ref="B35:D35"/>
    <mergeCell ref="B9:D9"/>
    <mergeCell ref="B27:D27"/>
    <mergeCell ref="B28:F28"/>
    <mergeCell ref="B10:F10"/>
    <mergeCell ref="B19:F19"/>
    <mergeCell ref="B32:D32"/>
    <mergeCell ref="B3:F4"/>
    <mergeCell ref="B23:F23"/>
    <mergeCell ref="B24:D24"/>
    <mergeCell ref="B25:D25"/>
    <mergeCell ref="B26:D26"/>
    <mergeCell ref="B14:F14"/>
    <mergeCell ref="B15:D15"/>
    <mergeCell ref="B16:D16"/>
    <mergeCell ref="B20:F20"/>
    <mergeCell ref="B11:F11"/>
    <mergeCell ref="B17:D17"/>
    <mergeCell ref="B18:D18"/>
    <mergeCell ref="B6:F6"/>
    <mergeCell ref="B7:D7"/>
  </mergeCells>
  <pageMargins left="0.79166666666666663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2851562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71" t="s">
        <v>153</v>
      </c>
      <c r="C3" s="71"/>
      <c r="D3" s="71"/>
      <c r="E3" s="71"/>
      <c r="F3" s="71"/>
      <c r="G3" s="1"/>
    </row>
    <row r="4" spans="1:7" ht="15" customHeight="1" x14ac:dyDescent="0.25">
      <c r="A4" s="1"/>
      <c r="B4" s="71"/>
      <c r="C4" s="71"/>
      <c r="D4" s="71"/>
      <c r="E4" s="71"/>
      <c r="F4" s="7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ht="15" customHeight="1" x14ac:dyDescent="0.25">
      <c r="A8" s="1"/>
      <c r="B8" s="80" t="s">
        <v>94</v>
      </c>
      <c r="C8" s="80"/>
      <c r="D8" s="80"/>
      <c r="E8" s="80"/>
      <c r="F8" s="80"/>
      <c r="G8" s="1"/>
    </row>
    <row r="9" spans="1:7" ht="28.5" customHeight="1" x14ac:dyDescent="0.25">
      <c r="A9" s="1"/>
      <c r="B9" s="69" t="s">
        <v>98</v>
      </c>
      <c r="C9" s="69"/>
      <c r="D9" s="69"/>
      <c r="E9" s="9">
        <f>IF('Fane 3. Omkostninger i ØR2019'!E19-'Fane 3. Omkostninger i ØR2019'!E19/(1+'Fane 12. Nøgletal'!C11)^2&lt;0,-('Fane 3. Omkostninger i ØR2019'!E19-'Fane 3. Omkostninger i ØR2019'!E19/(1+'Fane 12. Nøgletal'!C11)^2),0)</f>
        <v>0</v>
      </c>
      <c r="F9" s="36" t="s">
        <v>3</v>
      </c>
      <c r="G9" s="1"/>
    </row>
    <row r="10" spans="1:7" x14ac:dyDescent="0.25">
      <c r="A10" s="1"/>
      <c r="B10" s="42" t="s">
        <v>109</v>
      </c>
      <c r="C10" s="42"/>
      <c r="D10" s="42"/>
      <c r="E10" s="10">
        <f>E9</f>
        <v>0</v>
      </c>
      <c r="F10" s="11" t="s">
        <v>3</v>
      </c>
      <c r="G10" s="1"/>
    </row>
    <row r="11" spans="1:7" x14ac:dyDescent="0.25">
      <c r="A11" s="1"/>
      <c r="B11" s="1"/>
      <c r="C11" s="1"/>
      <c r="D11" s="1"/>
      <c r="E11" s="1"/>
      <c r="F11" s="1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algorithmName="SHA-512" hashValue="4imXfNnraJtraFakT3ZfUif+9AxLglsaa5wK2qKhhppBWPon6TC97Q2IF7jmb4daD3kh1hdek3SesZB3u2usjQ==" saltValue="z+Sy2xsLrud1YVqG4m2lkg==" spinCount="100000" sheet="1" objects="1" scenarios="1"/>
  <mergeCells count="3">
    <mergeCell ref="B8:F8"/>
    <mergeCell ref="B9:D9"/>
    <mergeCell ref="B3:F4"/>
  </mergeCells>
  <pageMargins left="0.79166666666666663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16</vt:i4>
      </vt:variant>
    </vt:vector>
  </HeadingPairs>
  <TitlesOfParts>
    <vt:vector size="16" baseType="lpstr">
      <vt:lpstr>1. Forside</vt:lpstr>
      <vt:lpstr>Fane 2.1. Økonomisk ramme 2020</vt:lpstr>
      <vt:lpstr>Fane 2.2. Økonomisk ramme 2021</vt:lpstr>
      <vt:lpstr>Fane 2.3. Økonomisk ramme 2022</vt:lpstr>
      <vt:lpstr>Fane 2.4. Økonomisk ramme 2023</vt:lpstr>
      <vt:lpstr>Fane 3. Omkostninger i ØR2019</vt:lpstr>
      <vt:lpstr>Fane 4. Ikke-påvirkelige omk.</vt:lpstr>
      <vt:lpstr>Fane 5. Kontrol af ØR2018</vt:lpstr>
      <vt:lpstr>Fane 6. Korrektioner</vt:lpstr>
      <vt:lpstr>Fane 7. Anlægsprojekter</vt:lpstr>
      <vt:lpstr>Fane 8.1. Varige tillæg</vt:lpstr>
      <vt:lpstr>Fane 8.2. Engangstillæg</vt:lpstr>
      <vt:lpstr>Fane 9. Tilknyttet aktivitet</vt:lpstr>
      <vt:lpstr>Fane 10. Bortfald</vt:lpstr>
      <vt:lpstr>Fane 11. Hist. over-underdæk.</vt:lpstr>
      <vt:lpstr>Fane 12.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2019-10-07T12:45:55Z</dcterms:modified>
</cp:coreProperties>
</file>