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illund Drikkevand AS (V02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<sst xmlns="http://schemas.openxmlformats.org/spreadsheetml/2006/main" count="425" uniqueCount="164">
  <si>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</si>
  <si>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</si>
  <si>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</si>
  <si>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</si>
  <si>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</si>
  <si>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</si>
  <si>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</si>
  <si>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</si>
  <si>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</si>
  <si>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</si>
  <si>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</si>
  <si>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</si>
  <si>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</si>
  <si>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</si>
  <si>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</si>
  <si>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</si>
  <si>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</si>
  <si>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</si>
  <si>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</si>
  <si>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</si>
  <si>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</si>
  <si>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</si>
  <si>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</si>
  <si>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</si>
  <si>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</si>
  <si>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</si>
  <si>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</si>
  <si>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</si>
  <si>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</si>
  <si>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</si>
  <si>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</si>
  <si>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</si>
  <si>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</si>
  <si>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</si>
  <si>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</si>
  <si>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</si>
  <si>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</si>
  <si>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</si>
  <si>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</si>
  <si>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</si>
  <si>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</si>
  <si>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</si>
  <si>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</si>
  <si>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</si>
  <si>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</si>
  <si>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</si>
  <si>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</si>
  <si>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</si>
  <si>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</si>
  <si>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</si>
  <si>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</si>
  <si>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</si>
  <si>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</si>
  <si>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</si>
  <si>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</si>
  <si>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</si>
  <si>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</si>
  <si>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</si>
  <si>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</si>
  <si>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</si>
  <si>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</si>
  <si>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</si>
  <si>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</si>
  <si>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</si>
  <si>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</si>
  <si>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</si>
  <si>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</si>
  <si>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</si>
  <si>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</si>
  <si>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</si>
  <si>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</si>
  <si>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</si>
  <si>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</si>
  <si>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</si>
  <si>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</si>
  <si>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</si>
  <si>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</si>
  <si>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</si>
  <si>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</si>
  <si>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</si>
  <si>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</si>
  <si>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</si>
  <si>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</si>
  <si>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</si>
  <si>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</si>
  <si>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</si>
  <si>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</si>
  <si>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</si>
  <si>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</si>
  <si>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</si>
  <si>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</si>
  <si>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</si>
  <si>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</si>
  <si>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</si>
  <si>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</si>
  <si>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</si>
  <si>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</si>
  <si>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</si>
  <si>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</si>
  <si>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</si>
  <si>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</si>
  <si>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</si>
  <si>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</si>
  <si>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</si>
  <si>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</si>
  <si>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</si>
  <si>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</si>
  <si>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</si>
  <si>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</si>
  <si>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</si>
  <si>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</si>
  <si>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</si>
  <si>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</si>
  <si>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</si>
  <si>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</si>
  <si>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</si>
  <si>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</si>
  <si>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</si>
  <si>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</si>
  <si>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</si>
  <si>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</si>
  <si>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</si>
  <si>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</si>
  <si>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</si>
  <si>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</si>
  <si>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</si>
  <si>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</si>
  <si>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</si>
  <si>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</si>
  <si>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</si>
  <si>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</si>
  <si>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</si>
  <si>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</si>
  <si>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</si>
  <si>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</si>
  <si>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</si>
  <si>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</si>
  <si>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</si>
  <si>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</si>
  <si>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</si>
  <si>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</si>
  <si>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</si>
  <si>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</si>
  <si>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</si>
  <si>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</si>
  <si>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</si>
  <si>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</si>
  <si>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</si>
  <si>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</si>
  <si>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</si>
  <si>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</si>
  <si>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</si>
  <si>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</si>
  <si>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</si>
  <si>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</si>
  <si>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</si>
  <si>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Byggemodninger</t>
  </si>
  <si>
    <t>Ingen engangstillæg</t>
  </si>
  <si>
    <t>Ingen anlægsprojekter</t>
  </si>
  <si>
    <t>Anlægsprojekter igangsat senest 1. marts 2016</t>
  </si>
  <si>
    <t>Afgift til Forsyningssekretariatet</t>
  </si>
  <si>
    <t>Ejendomsskat</t>
  </si>
  <si>
    <t>Afgift for ledningsført vand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</si>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</sst>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3" t="s">
        <v>4</v>
      </c>
      <c r="E6" s="53"/>
      <c r="F6" s="53"/>
      <c r="G6" s="53"/>
      <c r="H6" s="3"/>
      <c r="I6" s="1"/>
    </row>
    <row r="7" spans="1:9" ht="15" customHeight="1" x14ac:dyDescent="0.25">
      <c r="A7" s="1"/>
      <c r="B7" s="1"/>
      <c r="C7" s="3"/>
      <c r="D7" s="53"/>
      <c r="E7" s="53"/>
      <c r="F7" s="53"/>
      <c r="G7" s="53"/>
      <c r="H7" s="3"/>
      <c r="I7" s="1"/>
    </row>
    <row r="8" spans="1:9" ht="15.75" x14ac:dyDescent="0.25">
      <c r="A8" s="1"/>
      <c r="B8" s="1"/>
      <c r="C8" s="4"/>
      <c r="D8" s="58" t="s">
        <v>116</v>
      </c>
      <c r="E8" s="58"/>
      <c r="F8" s="58"/>
      <c r="G8" s="5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7" t="s">
        <v>5</v>
      </c>
      <c r="E11" s="57"/>
      <c r="F11" s="57"/>
      <c r="G11" s="5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0" t="s">
        <v>49</v>
      </c>
      <c r="E13" s="51"/>
      <c r="F13" s="51"/>
      <c r="G13" s="52"/>
      <c r="H13" s="1"/>
      <c r="I13" s="1"/>
    </row>
    <row r="14" spans="1:9" x14ac:dyDescent="0.25">
      <c r="A14" s="1"/>
      <c r="B14" s="1"/>
      <c r="C14" s="6" t="s">
        <v>22</v>
      </c>
      <c r="D14" s="50" t="s">
        <v>117</v>
      </c>
      <c r="E14" s="51"/>
      <c r="F14" s="51"/>
      <c r="G14" s="52"/>
      <c r="H14" s="1"/>
      <c r="I14" s="1"/>
    </row>
    <row r="15" spans="1:9" x14ac:dyDescent="0.25">
      <c r="A15" s="1"/>
      <c r="B15" s="1"/>
      <c r="C15" s="6" t="s">
        <v>48</v>
      </c>
      <c r="D15" s="50" t="s">
        <v>75</v>
      </c>
      <c r="E15" s="51"/>
      <c r="F15" s="51"/>
      <c r="G15" s="52"/>
      <c r="H15" s="1"/>
      <c r="I15" s="1"/>
    </row>
    <row r="16" spans="1:9" x14ac:dyDescent="0.25">
      <c r="A16" s="1"/>
      <c r="B16" s="1"/>
      <c r="C16" s="6" t="s">
        <v>50</v>
      </c>
      <c r="D16" s="50" t="s">
        <v>76</v>
      </c>
      <c r="E16" s="51"/>
      <c r="F16" s="51"/>
      <c r="G16" s="52"/>
      <c r="H16" s="1"/>
      <c r="I16" s="1"/>
    </row>
    <row r="17" spans="1:9" x14ac:dyDescent="0.25">
      <c r="A17" s="1"/>
      <c r="B17" s="1"/>
      <c r="C17" s="6" t="s">
        <v>139</v>
      </c>
      <c r="D17" s="50" t="s">
        <v>57</v>
      </c>
      <c r="E17" s="51"/>
      <c r="F17" s="51"/>
      <c r="G17" s="52"/>
      <c r="H17" s="1"/>
      <c r="I17" s="1"/>
    </row>
    <row r="18" spans="1:9" x14ac:dyDescent="0.25">
      <c r="A18" s="1"/>
      <c r="B18" s="1"/>
      <c r="C18" s="6" t="s">
        <v>7</v>
      </c>
      <c r="D18" s="62" t="s">
        <v>16</v>
      </c>
      <c r="E18" s="63"/>
      <c r="F18" s="63"/>
      <c r="G18" s="64"/>
      <c r="H18" s="1"/>
      <c r="I18" s="1"/>
    </row>
    <row r="19" spans="1:9" x14ac:dyDescent="0.25">
      <c r="A19" s="1"/>
      <c r="B19" s="1"/>
      <c r="C19" s="6" t="s">
        <v>8</v>
      </c>
      <c r="D19" s="54" t="s">
        <v>97</v>
      </c>
      <c r="E19" s="55"/>
      <c r="F19" s="55"/>
      <c r="G19" s="56"/>
      <c r="H19" s="1"/>
      <c r="I19" s="1"/>
    </row>
    <row r="20" spans="1:9" x14ac:dyDescent="0.25">
      <c r="A20" s="1"/>
      <c r="B20" s="1"/>
      <c r="C20" s="6" t="s">
        <v>123</v>
      </c>
      <c r="D20" s="54" t="s">
        <v>147</v>
      </c>
      <c r="E20" s="55"/>
      <c r="F20" s="55"/>
      <c r="G20" s="56"/>
      <c r="H20" s="1"/>
      <c r="I20" s="1"/>
    </row>
    <row r="21" spans="1:9" x14ac:dyDescent="0.25">
      <c r="A21" s="1"/>
      <c r="B21" s="1"/>
      <c r="C21" s="6" t="s">
        <v>82</v>
      </c>
      <c r="D21" s="54" t="s">
        <v>51</v>
      </c>
      <c r="E21" s="55"/>
      <c r="F21" s="55"/>
      <c r="G21" s="56"/>
      <c r="H21" s="1"/>
      <c r="I21" s="1"/>
    </row>
    <row r="22" spans="1:9" x14ac:dyDescent="0.25">
      <c r="A22" s="1"/>
      <c r="B22" s="1"/>
      <c r="C22" s="6" t="s">
        <v>124</v>
      </c>
      <c r="D22" s="54" t="s">
        <v>83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125</v>
      </c>
      <c r="D23" s="54" t="s">
        <v>84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52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96</v>
      </c>
      <c r="D25" s="54" t="s">
        <v>53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126</v>
      </c>
      <c r="D26" s="65" t="s">
        <v>10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</v>
      </c>
      <c r="D27" s="59" t="s">
        <v>127</v>
      </c>
      <c r="E27" s="60"/>
      <c r="F27" s="60"/>
      <c r="G27" s="6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3jLmmJ0+3VCw+1Lh2jgOH43sZTGE1fv3xzHllTmaSz0Ph9sBhkvnUusvvvvvRLIdm/mxROFcBkzi7LvboLyMA==" saltValue="9/LkKdaahO0QnKKJ6idSD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8" t="s">
        <v>151</v>
      </c>
      <c r="C3" s="68"/>
      <c r="D3" s="68"/>
      <c r="E3" s="68"/>
      <c r="F3" s="68"/>
      <c r="G3" s="68"/>
      <c r="H3" s="68"/>
      <c r="I3" s="1"/>
    </row>
    <row r="4" spans="1:9" ht="15" customHeight="1" x14ac:dyDescent="0.25">
      <c r="A4" s="1"/>
      <c r="B4" s="68"/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9" t="s">
        <v>152</v>
      </c>
      <c r="C8" s="80"/>
      <c r="D8" s="80"/>
      <c r="E8" s="80"/>
      <c r="F8" s="80"/>
      <c r="G8" s="80"/>
      <c r="H8" s="81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8" t="s">
        <v>2</v>
      </c>
      <c r="F9" s="38" t="s">
        <v>15</v>
      </c>
      <c r="G9" s="38" t="s">
        <v>41</v>
      </c>
      <c r="H9" s="47"/>
      <c r="I9" s="1"/>
    </row>
    <row r="10" spans="1:9" x14ac:dyDescent="0.25">
      <c r="A10" s="1"/>
      <c r="B10" s="35" t="s">
        <v>158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9" t="s">
        <v>153</v>
      </c>
      <c r="C11" s="80"/>
      <c r="D11" s="8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KeU/VBqWe9eVfYucaZtTAjujcb4DS9+8caLB5+qukbrJ3xPD68qdC2npel/BVGOeFQuqgfUbRHzwp7OvasD+A==" saltValue="2dpvbk32tjOv6NR8XcKZZ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120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79</v>
      </c>
      <c r="C8" s="24"/>
      <c r="D8" s="24"/>
      <c r="E8" s="24"/>
      <c r="F8" s="49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7"/>
      <c r="G9" s="1"/>
    </row>
    <row r="10" spans="1:7" x14ac:dyDescent="0.25">
      <c r="A10" s="1"/>
      <c r="B10" s="22" t="s">
        <v>159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7" t="s">
        <v>156</v>
      </c>
      <c r="C11" s="21">
        <v>19063</v>
      </c>
      <c r="D11" s="12" t="s">
        <v>3</v>
      </c>
      <c r="E11" s="8">
        <v>17628</v>
      </c>
      <c r="F11" s="12" t="s">
        <v>3</v>
      </c>
      <c r="G11" s="1"/>
    </row>
    <row r="12" spans="1:7" x14ac:dyDescent="0.25">
      <c r="A12" s="1"/>
      <c r="B12" s="48" t="s">
        <v>54</v>
      </c>
      <c r="C12" s="10">
        <f>SUM(C10:C11)</f>
        <v>19063</v>
      </c>
      <c r="D12" s="11" t="s">
        <v>3</v>
      </c>
      <c r="E12" s="10">
        <f>SUM(E10:E11)</f>
        <v>17628</v>
      </c>
      <c r="F12" s="11" t="s">
        <v>3</v>
      </c>
      <c r="G12" s="1"/>
    </row>
    <row r="13" spans="1:7" x14ac:dyDescent="0.25">
      <c r="A13" s="1"/>
      <c r="B13" s="48" t="s">
        <v>63</v>
      </c>
      <c r="C13" s="10">
        <f>C12*(1+'Fane 12. Nøgletal'!C12)</f>
        <v>19438.541100000002</v>
      </c>
      <c r="D13" s="11" t="s">
        <v>3</v>
      </c>
      <c r="E13" s="10">
        <f>E12*(1+'Fane 12. Nøgletal'!C12)</f>
        <v>17975.2716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i/Z7lLZ3U9iVYDKe4FDX50Z4mvwS5hGnqggnXjiR3GW4rWKJ/tDvDEagRqmcAKgr1b51no8HuWMGWZl8ajDY3A==" saltValue="1bT312MHqvQ7fVEY7Mn/A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121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9" t="s">
        <v>102</v>
      </c>
      <c r="C8" s="80"/>
      <c r="D8" s="80"/>
      <c r="E8" s="80"/>
      <c r="F8" s="81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7"/>
      <c r="G9" s="1"/>
    </row>
    <row r="10" spans="1:7" x14ac:dyDescent="0.25">
      <c r="A10" s="1"/>
      <c r="B10" s="22" t="s">
        <v>157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8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8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9" t="s">
        <v>103</v>
      </c>
      <c r="C15" s="80"/>
      <c r="D15" s="80"/>
      <c r="E15" s="80"/>
      <c r="F15" s="81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7"/>
      <c r="G16" s="1"/>
    </row>
    <row r="17" spans="1:7" x14ac:dyDescent="0.25">
      <c r="A17" s="1"/>
      <c r="B17" s="22" t="s">
        <v>157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8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8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9" t="s">
        <v>104</v>
      </c>
      <c r="C22" s="80"/>
      <c r="D22" s="80"/>
      <c r="E22" s="80"/>
      <c r="F22" s="81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7"/>
      <c r="G23" s="1"/>
    </row>
    <row r="24" spans="1:7" x14ac:dyDescent="0.25">
      <c r="A24" s="1"/>
      <c r="B24" s="22" t="s">
        <v>157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8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8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9" t="s">
        <v>105</v>
      </c>
      <c r="C29" s="80"/>
      <c r="D29" s="80"/>
      <c r="E29" s="80"/>
      <c r="F29" s="81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7"/>
      <c r="G30" s="1"/>
    </row>
    <row r="31" spans="1:7" x14ac:dyDescent="0.25">
      <c r="A31" s="1"/>
      <c r="B31" s="22" t="s">
        <v>157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8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8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CTuef0E5fjZ7LV65MVcFoFFP37wbzHzkfA50IR34+OYLIu4nwFZh33O3BLQNgFQi8R37JOrI2uF9vdsY1vmZDw==" saltValue="FQzshTh5oqcu2oIyH47j8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134</v>
      </c>
      <c r="C3" s="73"/>
      <c r="D3" s="73"/>
      <c r="E3" s="73"/>
      <c r="F3" s="73"/>
      <c r="G3" s="1"/>
    </row>
    <row r="4" spans="1:7" ht="25.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9" t="s">
        <v>32</v>
      </c>
      <c r="C8" s="80"/>
      <c r="D8" s="80"/>
      <c r="E8" s="80"/>
      <c r="F8" s="81"/>
      <c r="G8" s="1"/>
    </row>
    <row r="9" spans="1:7" ht="15" customHeight="1" x14ac:dyDescent="0.25">
      <c r="A9" s="1"/>
      <c r="B9" s="46" t="s">
        <v>33</v>
      </c>
      <c r="C9" s="91" t="s">
        <v>15</v>
      </c>
      <c r="D9" s="92"/>
      <c r="E9" s="91" t="s">
        <v>42</v>
      </c>
      <c r="F9" s="92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SZ6MEDXlJe9nrAe+rRfsJpwsDKnU3D1CPoxY4xJmn/BkhQP3u5WHEXzO+shQ4yavKL69/C5MWZFWHADtnO7zA==" saltValue="Ll8XGiKZyESy/JnznMTgr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135</v>
      </c>
      <c r="C3" s="73"/>
      <c r="D3" s="73"/>
      <c r="E3" s="73"/>
      <c r="F3" s="73"/>
      <c r="G3" s="1"/>
    </row>
    <row r="4" spans="1:7" ht="25.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9" t="s">
        <v>91</v>
      </c>
      <c r="C8" s="80"/>
      <c r="D8" s="80"/>
      <c r="E8" s="80"/>
      <c r="F8" s="81"/>
      <c r="G8" s="1"/>
    </row>
    <row r="9" spans="1:7" ht="15" customHeight="1" x14ac:dyDescent="0.25">
      <c r="A9" s="1"/>
      <c r="B9" s="46" t="s">
        <v>25</v>
      </c>
      <c r="C9" s="46" t="s">
        <v>15</v>
      </c>
      <c r="D9" s="47"/>
      <c r="E9" s="46" t="s">
        <v>42</v>
      </c>
      <c r="F9" s="47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8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8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9" t="s">
        <v>92</v>
      </c>
      <c r="C14" s="80"/>
      <c r="D14" s="80"/>
      <c r="E14" s="80"/>
      <c r="F14" s="81"/>
      <c r="G14" s="1"/>
    </row>
    <row r="15" spans="1:7" ht="26.25" x14ac:dyDescent="0.25">
      <c r="A15" s="1"/>
      <c r="B15" s="46" t="s">
        <v>25</v>
      </c>
      <c r="C15" s="46" t="s">
        <v>15</v>
      </c>
      <c r="D15" s="47"/>
      <c r="E15" s="46" t="s">
        <v>42</v>
      </c>
      <c r="F15" s="47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8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8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9" t="s">
        <v>90</v>
      </c>
      <c r="C20" s="80"/>
      <c r="D20" s="80"/>
      <c r="E20" s="80"/>
      <c r="F20" s="81"/>
      <c r="G20" s="1"/>
    </row>
    <row r="21" spans="1:7" ht="26.25" x14ac:dyDescent="0.25">
      <c r="A21" s="1"/>
      <c r="B21" s="46" t="s">
        <v>25</v>
      </c>
      <c r="C21" s="46" t="s">
        <v>15</v>
      </c>
      <c r="D21" s="47"/>
      <c r="E21" s="46" t="s">
        <v>42</v>
      </c>
      <c r="F21" s="47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8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8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9" t="s">
        <v>93</v>
      </c>
      <c r="C26" s="80"/>
      <c r="D26" s="80"/>
      <c r="E26" s="80"/>
      <c r="F26" s="81"/>
      <c r="G26" s="1"/>
    </row>
    <row r="27" spans="1:7" ht="26.25" x14ac:dyDescent="0.25">
      <c r="A27" s="1"/>
      <c r="B27" s="46" t="s">
        <v>25</v>
      </c>
      <c r="C27" s="46" t="s">
        <v>15</v>
      </c>
      <c r="D27" s="47"/>
      <c r="E27" s="46" t="s">
        <v>42</v>
      </c>
      <c r="F27" s="47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8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8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UYiSlEV3m4TipGLi6WzpQPZ6ULNbM2jnjU64obLPZ5MzDEVd2OG6nsGYU6CbUOjM+wrRPkYCnB6fZ+h/SBwDw==" saltValue="n3ynCCXWw1rr+rvWFfi3L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8" t="s">
        <v>136</v>
      </c>
      <c r="C3" s="68"/>
      <c r="D3" s="68"/>
      <c r="E3" s="68"/>
      <c r="F3" s="68"/>
      <c r="G3" s="68"/>
      <c r="H3" s="68"/>
      <c r="I3" s="1"/>
    </row>
    <row r="4" spans="1:9" ht="15" customHeight="1" x14ac:dyDescent="0.25">
      <c r="A4" s="1"/>
      <c r="B4" s="68"/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9" t="s">
        <v>17</v>
      </c>
      <c r="C8" s="80"/>
      <c r="D8" s="80"/>
      <c r="E8" s="80"/>
      <c r="F8" s="80"/>
      <c r="G8" s="80"/>
      <c r="H8" s="81"/>
      <c r="I8" s="1"/>
    </row>
    <row r="9" spans="1:9" x14ac:dyDescent="0.25">
      <c r="A9" s="1"/>
      <c r="B9" s="93" t="s">
        <v>11</v>
      </c>
      <c r="C9" s="94"/>
      <c r="D9" s="94"/>
      <c r="E9" s="94"/>
      <c r="F9" s="95"/>
      <c r="G9" s="8">
        <v>8731470</v>
      </c>
      <c r="H9" s="12" t="s">
        <v>3</v>
      </c>
      <c r="I9" s="1"/>
    </row>
    <row r="10" spans="1:9" x14ac:dyDescent="0.25">
      <c r="A10" s="1"/>
      <c r="B10" s="93" t="s">
        <v>77</v>
      </c>
      <c r="C10" s="94"/>
      <c r="D10" s="94"/>
      <c r="E10" s="94"/>
      <c r="F10" s="95"/>
      <c r="G10" s="8">
        <v>0</v>
      </c>
      <c r="H10" s="12" t="s">
        <v>3</v>
      </c>
      <c r="I10" s="1"/>
    </row>
    <row r="11" spans="1:9" x14ac:dyDescent="0.25">
      <c r="A11" s="1"/>
      <c r="B11" s="93" t="s">
        <v>69</v>
      </c>
      <c r="C11" s="94"/>
      <c r="D11" s="94"/>
      <c r="E11" s="94"/>
      <c r="F11" s="95"/>
      <c r="G11" s="8">
        <v>-7864729.3783068778</v>
      </c>
      <c r="H11" s="12" t="s">
        <v>3</v>
      </c>
      <c r="I11" s="1"/>
    </row>
    <row r="12" spans="1:9" x14ac:dyDescent="0.25">
      <c r="A12" s="1"/>
      <c r="B12" s="96" t="s">
        <v>14</v>
      </c>
      <c r="C12" s="97"/>
      <c r="D12" s="97"/>
      <c r="E12" s="97"/>
      <c r="F12" s="98"/>
      <c r="G12" s="17">
        <f>(G9+G10)+G11</f>
        <v>866740.6216931222</v>
      </c>
      <c r="H12" s="16" t="s">
        <v>3</v>
      </c>
      <c r="I12" s="1"/>
    </row>
    <row r="13" spans="1:9" x14ac:dyDescent="0.25">
      <c r="A13" s="1"/>
      <c r="B13" s="93" t="s">
        <v>12</v>
      </c>
      <c r="C13" s="94"/>
      <c r="D13" s="94"/>
      <c r="E13" s="94"/>
      <c r="F13" s="95"/>
      <c r="G13" s="8">
        <v>1</v>
      </c>
      <c r="H13" s="12" t="s">
        <v>27</v>
      </c>
      <c r="I13" s="1"/>
    </row>
    <row r="14" spans="1:9" x14ac:dyDescent="0.25">
      <c r="A14" s="1"/>
      <c r="B14" s="79" t="s">
        <v>78</v>
      </c>
      <c r="C14" s="80"/>
      <c r="D14" s="80"/>
      <c r="E14" s="80"/>
      <c r="F14" s="81"/>
      <c r="G14" s="10">
        <f>IF(G13 = 0,0,-G12/G13)</f>
        <v>-866740.6216931222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MfJ/opdzSDLeQABuIdPZ3QVSm6Az9c2AJShWsIF6fB8V9IlhEqL+1uQRtlND4o7yoNCHAfQK5qOXOGqWnErgw==" saltValue="PhfA69XyNLFkKsU/9DBlS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3" t="s">
        <v>137</v>
      </c>
      <c r="C3" s="73"/>
      <c r="D3" s="1"/>
    </row>
    <row r="4" spans="1:4" ht="25.5" customHeight="1" x14ac:dyDescent="0.25">
      <c r="A4" s="1"/>
      <c r="B4" s="73"/>
      <c r="C4" s="7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20</v>
      </c>
      <c r="C8" s="49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8"/>
      <c r="C13" s="49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8" t="s">
        <v>115</v>
      </c>
      <c r="C16" s="49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9"/>
      <c r="C18" s="100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GvuWVufNGK2uf2Gb57rC1e5eAIWrDmv6PDyh1grKNTKoaR41zuP8gLa5bfE6EyZ9+NQA/tlpcfZf4PbMv9kqJA==" saltValue="/6ml09pe2t4zU+twDCLVN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56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19</v>
      </c>
      <c r="C8" s="44"/>
      <c r="D8" s="44"/>
      <c r="E8" s="44"/>
      <c r="F8" s="44"/>
      <c r="G8" s="1"/>
    </row>
    <row r="9" spans="1:7" x14ac:dyDescent="0.25">
      <c r="A9" s="1"/>
      <c r="B9" s="40" t="s">
        <v>35</v>
      </c>
      <c r="C9" s="40"/>
      <c r="D9" s="40"/>
      <c r="E9" s="7">
        <f>'Fane 3. Omkostninger i ØR2019'!E15</f>
        <v>7222387.5800186424</v>
      </c>
      <c r="F9" s="40" t="s">
        <v>3</v>
      </c>
      <c r="G9" s="1"/>
    </row>
    <row r="10" spans="1:7" x14ac:dyDescent="0.25">
      <c r="A10" s="1"/>
      <c r="B10" s="42" t="s">
        <v>140</v>
      </c>
      <c r="C10" s="40"/>
      <c r="D10" s="40"/>
      <c r="E10" s="7">
        <f>'Fane 3. Omkostninger i ØR2019'!E10*(1-'Fane 12. Nøgletal'!C17)*(1+'Fane 12. Nøgletal'!C10)</f>
        <v>0</v>
      </c>
      <c r="F10" s="40" t="s">
        <v>3</v>
      </c>
      <c r="G10" s="1"/>
    </row>
    <row r="11" spans="1:7" x14ac:dyDescent="0.25">
      <c r="A11" s="1"/>
      <c r="B11" s="42" t="s">
        <v>143</v>
      </c>
      <c r="C11" s="40"/>
      <c r="D11" s="40"/>
      <c r="E11" s="7">
        <f>('Fane 3. Omkostninger i ØR2019'!E11+'Fane 3. Omkostninger i ØR2019'!E12)*(1-'Fane 12. Nøgletal'!C17)*(1+'Fane 12. Nøgletal'!C11)</f>
        <v>352799.80759358866</v>
      </c>
      <c r="F11" s="40" t="s">
        <v>3</v>
      </c>
      <c r="G11" s="1"/>
    </row>
    <row r="12" spans="1:7" ht="17.100000000000001" customHeight="1" x14ac:dyDescent="0.25">
      <c r="A12" s="1"/>
      <c r="B12" s="31" t="s">
        <v>141</v>
      </c>
      <c r="C12" s="40"/>
      <c r="D12" s="40"/>
      <c r="E12" s="7">
        <f>'Fane 8.1. Varige tillæg'!C13+'Fane 8.1. Varige tillæg'!E13</f>
        <v>37413.812700000002</v>
      </c>
      <c r="F12" s="40" t="s">
        <v>3</v>
      </c>
      <c r="G12" s="1"/>
    </row>
    <row r="13" spans="1:7" ht="17.100000000000001" customHeight="1" x14ac:dyDescent="0.25">
      <c r="A13" s="1"/>
      <c r="B13" s="31" t="s">
        <v>144</v>
      </c>
      <c r="C13" s="40"/>
      <c r="D13" s="40"/>
      <c r="E13" s="8">
        <f>-('Fane 10. Bortfald'!C12+'Fane 10. Bortfald'!E12)</f>
        <v>0</v>
      </c>
      <c r="F13" s="40" t="s">
        <v>3</v>
      </c>
      <c r="G13" s="1"/>
    </row>
    <row r="14" spans="1:7" ht="17.100000000000001" customHeight="1" x14ac:dyDescent="0.25">
      <c r="A14" s="1"/>
      <c r="B14" s="31" t="s">
        <v>111</v>
      </c>
      <c r="C14" s="40"/>
      <c r="D14" s="40"/>
      <c r="E14" s="8">
        <f>'Fane 9. Tilknyttet aktivitet'!C12+'Fane 9. Tilknyttet aktivitet'!E12</f>
        <v>0</v>
      </c>
      <c r="F14" s="40" t="s">
        <v>3</v>
      </c>
      <c r="G14" s="1"/>
    </row>
    <row r="15" spans="1:7" ht="17.100000000000001" customHeight="1" x14ac:dyDescent="0.25">
      <c r="A15" s="1"/>
      <c r="B15" s="31" t="s">
        <v>26</v>
      </c>
      <c r="C15" s="40"/>
      <c r="D15" s="40"/>
      <c r="E15" s="8">
        <f>(E9-SUM(E10:E11))*'Fane 12. Nøgletal'!C9+E10*'Fane 12. Nøgletal'!C10+E11*'Fane 12. Nøgletal'!C11+SUM(E12:E14)*'Fane 12. Nøgletal'!C12</f>
        <v>93943.133568319827</v>
      </c>
      <c r="F15" s="40" t="s">
        <v>3</v>
      </c>
      <c r="G15" s="1"/>
    </row>
    <row r="16" spans="1:7" ht="17.100000000000001" customHeight="1" x14ac:dyDescent="0.25">
      <c r="A16" s="1"/>
      <c r="B16" s="31" t="s">
        <v>115</v>
      </c>
      <c r="C16" s="40"/>
      <c r="D16" s="40"/>
      <c r="E16" s="8">
        <f>-SUM(E9,E12:E15)*'Fane 12. Nøgletal'!C17</f>
        <v>-125013.65694687836</v>
      </c>
      <c r="F16" s="40" t="s">
        <v>3</v>
      </c>
      <c r="G16" s="1"/>
    </row>
    <row r="17" spans="1:7" ht="17.100000000000001" customHeight="1" x14ac:dyDescent="0.25">
      <c r="A17" s="1"/>
      <c r="B17" s="45" t="s">
        <v>28</v>
      </c>
      <c r="C17" s="43"/>
      <c r="D17" s="43"/>
      <c r="E17" s="9">
        <f>SUM(E9,E12:E16)</f>
        <v>7228730.8693400836</v>
      </c>
      <c r="F17" s="38" t="s">
        <v>3</v>
      </c>
      <c r="G17" s="1"/>
    </row>
    <row r="18" spans="1:7" ht="15" customHeight="1" x14ac:dyDescent="0.25">
      <c r="A18" s="1"/>
      <c r="B18" s="44" t="s">
        <v>16</v>
      </c>
      <c r="C18" s="44"/>
      <c r="D18" s="44"/>
      <c r="E18" s="44"/>
      <c r="F18" s="44"/>
      <c r="G18" s="1"/>
    </row>
    <row r="19" spans="1:7" ht="15" customHeight="1" x14ac:dyDescent="0.25">
      <c r="A19" s="1"/>
      <c r="B19" s="38" t="s">
        <v>16</v>
      </c>
      <c r="C19" s="38"/>
      <c r="D19" s="38"/>
      <c r="E19" s="9">
        <f>'Fane 4. Ikke-påvirkelige omk.'!C14</f>
        <v>5132390.8928757301</v>
      </c>
      <c r="F19" s="38" t="s">
        <v>3</v>
      </c>
      <c r="G19" s="1"/>
    </row>
    <row r="20" spans="1:7" ht="15" customHeight="1" x14ac:dyDescent="0.25">
      <c r="A20" s="1"/>
      <c r="B20" s="44" t="s">
        <v>84</v>
      </c>
      <c r="C20" s="44"/>
      <c r="D20" s="44"/>
      <c r="E20" s="44"/>
      <c r="F20" s="44"/>
      <c r="G20" s="1"/>
    </row>
    <row r="21" spans="1:7" ht="15" customHeight="1" x14ac:dyDescent="0.25">
      <c r="A21" s="1"/>
      <c r="B21" s="31" t="s">
        <v>80</v>
      </c>
      <c r="C21" s="40"/>
      <c r="D21" s="40"/>
      <c r="E21" s="8">
        <f>'Fane 8.2. Engangstillæg'!C13</f>
        <v>0</v>
      </c>
      <c r="F21" s="40" t="s">
        <v>3</v>
      </c>
      <c r="G21" s="1"/>
    </row>
    <row r="22" spans="1:7" ht="15" customHeight="1" x14ac:dyDescent="0.25">
      <c r="A22" s="1"/>
      <c r="B22" s="31" t="s">
        <v>81</v>
      </c>
      <c r="C22" s="40"/>
      <c r="D22" s="40"/>
      <c r="E22" s="8">
        <f>'Fane 8.2. Engangstillæg'!E13</f>
        <v>0</v>
      </c>
      <c r="F22" s="40" t="s">
        <v>3</v>
      </c>
      <c r="G22" s="1"/>
    </row>
    <row r="23" spans="1:7" x14ac:dyDescent="0.25">
      <c r="A23" s="1"/>
      <c r="B23" s="45" t="s">
        <v>85</v>
      </c>
      <c r="C23" s="43"/>
      <c r="D23" s="43"/>
      <c r="E23" s="9">
        <f>SUM(E21:E22)</f>
        <v>0</v>
      </c>
      <c r="F23" s="38" t="s">
        <v>3</v>
      </c>
      <c r="G23" s="1"/>
    </row>
    <row r="24" spans="1:7" x14ac:dyDescent="0.25">
      <c r="A24" s="1"/>
      <c r="B24" s="44" t="s">
        <v>10</v>
      </c>
      <c r="C24" s="44"/>
      <c r="D24" s="44"/>
      <c r="E24" s="44"/>
      <c r="F24" s="44"/>
      <c r="G24" s="1"/>
    </row>
    <row r="25" spans="1:7" ht="15" customHeight="1" x14ac:dyDescent="0.25">
      <c r="A25" s="1"/>
      <c r="B25" s="38" t="s">
        <v>18</v>
      </c>
      <c r="C25" s="38"/>
      <c r="D25" s="38"/>
      <c r="E25" s="9">
        <f>'Fane 11. Hist. over-underdæk.'!G14</f>
        <v>-866740.6216931222</v>
      </c>
      <c r="F25" s="38" t="s">
        <v>3</v>
      </c>
      <c r="G25" s="1"/>
    </row>
    <row r="26" spans="1:7" ht="15" customHeight="1" x14ac:dyDescent="0.25">
      <c r="A26" s="1"/>
      <c r="B26" s="44" t="s">
        <v>147</v>
      </c>
      <c r="C26" s="44"/>
      <c r="D26" s="44"/>
      <c r="E26" s="44"/>
      <c r="F26" s="44"/>
      <c r="G26" s="1"/>
    </row>
    <row r="27" spans="1:7" x14ac:dyDescent="0.25">
      <c r="A27" s="1"/>
      <c r="B27" s="38" t="s">
        <v>148</v>
      </c>
      <c r="C27" s="38"/>
      <c r="D27" s="38"/>
      <c r="E27" s="9">
        <f>'Fane 6. Korrektioner'!E10</f>
        <v>0</v>
      </c>
      <c r="F27" s="38" t="s">
        <v>3</v>
      </c>
      <c r="G27" s="1"/>
    </row>
    <row r="28" spans="1:7" x14ac:dyDescent="0.25">
      <c r="A28" s="1"/>
      <c r="B28" s="44" t="s">
        <v>36</v>
      </c>
      <c r="C28" s="44"/>
      <c r="D28" s="44"/>
      <c r="E28" s="10">
        <f>SUM(E17,E19,E23,E25,E27)</f>
        <v>11494381.140522692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/ODY+skMOp7dl54LVluDfW1pfOs1Hm9d3h1Pjl+0Wpx9L+8Vxyya9BRwIVpEypoFyWiwex1ID1g7bMpV2PYMvg==" saltValue="N0xPdFLG9vbpWupZIvoYt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73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19</v>
      </c>
      <c r="C8" s="44"/>
      <c r="D8" s="44"/>
      <c r="E8" s="44"/>
      <c r="F8" s="44"/>
      <c r="G8" s="1"/>
    </row>
    <row r="9" spans="1:7" ht="15" customHeight="1" x14ac:dyDescent="0.25">
      <c r="A9" s="1"/>
      <c r="B9" s="40" t="s">
        <v>37</v>
      </c>
      <c r="C9" s="40"/>
      <c r="D9" s="40"/>
      <c r="E9" s="7">
        <f>'Fane 2.1. Økonomisk ramme 2020'!E17</f>
        <v>7228730.8693400836</v>
      </c>
      <c r="F9" s="40" t="s">
        <v>3</v>
      </c>
      <c r="G9" s="1"/>
    </row>
    <row r="10" spans="1:7" ht="15" customHeight="1" x14ac:dyDescent="0.25">
      <c r="A10" s="1"/>
      <c r="B10" s="40" t="s">
        <v>163</v>
      </c>
      <c r="C10" s="40"/>
      <c r="D10" s="40"/>
      <c r="E10" s="7">
        <v>673844.39728438214</v>
      </c>
      <c r="F10" s="40" t="s">
        <v>3</v>
      </c>
      <c r="G10" s="1"/>
    </row>
    <row r="11" spans="1:7" ht="15" customHeight="1" x14ac:dyDescent="0.25">
      <c r="A11" s="1"/>
      <c r="B11" s="31" t="s">
        <v>144</v>
      </c>
      <c r="C11" s="40"/>
      <c r="D11" s="40"/>
      <c r="E11" s="7">
        <f>-('Fane 10. Bortfald'!C18+'Fane 10. Bortfald'!E18)</f>
        <v>0</v>
      </c>
      <c r="F11" s="40" t="s">
        <v>3</v>
      </c>
      <c r="G11" s="1"/>
    </row>
    <row r="12" spans="1:7" ht="15" customHeight="1" x14ac:dyDescent="0.25">
      <c r="A12" s="1"/>
      <c r="B12" s="41" t="s">
        <v>26</v>
      </c>
      <c r="C12" s="40"/>
      <c r="D12" s="40"/>
      <c r="E12" s="8">
        <f>SUM(E9:E11)*'Fane 12. Nøgletal'!C12</f>
        <v>155680.73275250196</v>
      </c>
      <c r="F12" s="40" t="s">
        <v>3</v>
      </c>
      <c r="G12" s="1"/>
    </row>
    <row r="13" spans="1:7" ht="15" customHeight="1" x14ac:dyDescent="0.25">
      <c r="A13" s="1"/>
      <c r="B13" s="41" t="s">
        <v>115</v>
      </c>
      <c r="C13" s="40"/>
      <c r="D13" s="40"/>
      <c r="E13" s="8">
        <f>-SUM(E9:E12)*'Fane 12. Nøgletal'!C17</f>
        <v>-136990.35198940846</v>
      </c>
      <c r="F13" s="40" t="s">
        <v>3</v>
      </c>
      <c r="G13" s="1"/>
    </row>
    <row r="14" spans="1:7" ht="15" customHeight="1" x14ac:dyDescent="0.25">
      <c r="A14" s="1"/>
      <c r="B14" s="43" t="s">
        <v>28</v>
      </c>
      <c r="C14" s="43"/>
      <c r="D14" s="43"/>
      <c r="E14" s="9">
        <f>SUM(E9:E13)</f>
        <v>7921265.6473875595</v>
      </c>
      <c r="F14" s="38" t="s">
        <v>3</v>
      </c>
      <c r="G14" s="1"/>
    </row>
    <row r="15" spans="1:7" x14ac:dyDescent="0.25">
      <c r="A15" s="1"/>
      <c r="B15" s="44" t="s">
        <v>16</v>
      </c>
      <c r="C15" s="44"/>
      <c r="D15" s="44"/>
      <c r="E15" s="44"/>
      <c r="F15" s="44"/>
      <c r="G15" s="1"/>
    </row>
    <row r="16" spans="1:7" ht="15" customHeight="1" x14ac:dyDescent="0.25">
      <c r="A16" s="1"/>
      <c r="B16" s="38" t="s">
        <v>16</v>
      </c>
      <c r="C16" s="38"/>
      <c r="D16" s="38"/>
      <c r="E16" s="9">
        <f>'Fane 4. Ikke-påvirkelige omk.'!C14*(1+'Fane 12. Nøgletal'!C12)</f>
        <v>5233498.9934653826</v>
      </c>
      <c r="F16" s="38" t="s">
        <v>3</v>
      </c>
      <c r="G16" s="1"/>
    </row>
    <row r="17" spans="1:7" ht="15" customHeight="1" x14ac:dyDescent="0.25">
      <c r="A17" s="1"/>
      <c r="B17" s="44" t="s">
        <v>84</v>
      </c>
      <c r="C17" s="44"/>
      <c r="D17" s="44"/>
      <c r="E17" s="44"/>
      <c r="F17" s="44"/>
      <c r="G17" s="1"/>
    </row>
    <row r="18" spans="1:7" ht="15" customHeight="1" x14ac:dyDescent="0.25">
      <c r="A18" s="1"/>
      <c r="B18" s="31" t="s">
        <v>80</v>
      </c>
      <c r="C18" s="40"/>
      <c r="D18" s="40"/>
      <c r="E18" s="8">
        <f>'Fane 8.2. Engangstillæg'!C20</f>
        <v>0</v>
      </c>
      <c r="F18" s="40" t="s">
        <v>3</v>
      </c>
      <c r="G18" s="1"/>
    </row>
    <row r="19" spans="1:7" ht="15" customHeight="1" x14ac:dyDescent="0.25">
      <c r="A19" s="1"/>
      <c r="B19" s="31" t="s">
        <v>81</v>
      </c>
      <c r="C19" s="40"/>
      <c r="D19" s="40"/>
      <c r="E19" s="8">
        <f>'Fane 8.2. Engangstillæg'!E20</f>
        <v>0</v>
      </c>
      <c r="F19" s="40" t="s">
        <v>3</v>
      </c>
      <c r="G19" s="1"/>
    </row>
    <row r="20" spans="1:7" ht="15" customHeight="1" x14ac:dyDescent="0.25">
      <c r="A20" s="1"/>
      <c r="B20" s="45" t="s">
        <v>85</v>
      </c>
      <c r="C20" s="43"/>
      <c r="D20" s="43"/>
      <c r="E20" s="9">
        <f>SUM(E18:E19)</f>
        <v>0</v>
      </c>
      <c r="F20" s="38" t="s">
        <v>3</v>
      </c>
      <c r="G20" s="1"/>
    </row>
    <row r="21" spans="1:7" x14ac:dyDescent="0.25">
      <c r="A21" s="1"/>
      <c r="B21" s="44" t="s">
        <v>95</v>
      </c>
      <c r="C21" s="44"/>
      <c r="D21" s="44"/>
      <c r="E21" s="44"/>
      <c r="F21" s="44"/>
      <c r="G21" s="1"/>
    </row>
    <row r="22" spans="1:7" ht="15" customHeight="1" x14ac:dyDescent="0.25">
      <c r="A22" s="1"/>
      <c r="B22" s="38" t="s">
        <v>131</v>
      </c>
      <c r="C22" s="38"/>
      <c r="D22" s="38"/>
      <c r="E22" s="9">
        <f>'Fane 5. Kontrol af ØR2018'!E35</f>
        <v>-234523.73986001313</v>
      </c>
      <c r="F22" s="38" t="s">
        <v>3</v>
      </c>
      <c r="G22" s="1"/>
    </row>
    <row r="23" spans="1:7" x14ac:dyDescent="0.25">
      <c r="A23" s="1"/>
      <c r="B23" s="44" t="s">
        <v>39</v>
      </c>
      <c r="C23" s="44"/>
      <c r="D23" s="44"/>
      <c r="E23" s="10">
        <f>SUM(E14,E16,E20,E22)</f>
        <v>12920240.90099293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HRmjEZF7oT+6VuQmleNu1El5tjZCMMgY0MWe5A5I5Mi7tGdyWPOdHYVUqjRsfoM3q2o/l5oKnGAbhWENWIFCA==" saltValue="G56rAvWl3+ogdxYNfCr3x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146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4" t="s">
        <v>19</v>
      </c>
      <c r="C7" s="44"/>
      <c r="D7" s="44"/>
      <c r="E7" s="44"/>
      <c r="F7" s="44"/>
      <c r="G7" s="1"/>
    </row>
    <row r="8" spans="1:7" ht="15" customHeight="1" x14ac:dyDescent="0.25">
      <c r="A8" s="1"/>
      <c r="B8" s="40" t="s">
        <v>37</v>
      </c>
      <c r="C8" s="40"/>
      <c r="D8" s="40"/>
      <c r="E8" s="7">
        <f>'Fane 2.2. Økonomisk ramme 2021'!E14</f>
        <v>7921265.6473875595</v>
      </c>
      <c r="F8" s="40" t="s">
        <v>3</v>
      </c>
      <c r="G8" s="1"/>
    </row>
    <row r="9" spans="1:7" ht="15" customHeight="1" x14ac:dyDescent="0.25">
      <c r="A9" s="1"/>
      <c r="B9" s="40" t="s">
        <v>144</v>
      </c>
      <c r="C9" s="40"/>
      <c r="D9" s="40"/>
      <c r="E9" s="7">
        <f>-('Fane 10. Bortfald'!C24+'Fane 10. Bortfald'!E24)</f>
        <v>0</v>
      </c>
      <c r="F9" s="40" t="s">
        <v>3</v>
      </c>
      <c r="G9" s="1"/>
    </row>
    <row r="10" spans="1:7" ht="15" customHeight="1" x14ac:dyDescent="0.25">
      <c r="A10" s="1"/>
      <c r="B10" s="41" t="s">
        <v>26</v>
      </c>
      <c r="C10" s="40"/>
      <c r="D10" s="40"/>
      <c r="E10" s="8">
        <f>SUM(E8:E9)*'Fane 12. Nøgletal'!C12</f>
        <v>156048.93325353492</v>
      </c>
      <c r="F10" s="40" t="s">
        <v>3</v>
      </c>
      <c r="G10" s="1"/>
    </row>
    <row r="11" spans="1:7" ht="15" customHeight="1" x14ac:dyDescent="0.25">
      <c r="A11" s="1"/>
      <c r="B11" s="41" t="s">
        <v>115</v>
      </c>
      <c r="C11" s="40"/>
      <c r="D11" s="40"/>
      <c r="E11" s="8">
        <f>-SUM(E8:E10)*'Fane 12. Nøgletal'!C17</f>
        <v>-137314.34787089861</v>
      </c>
      <c r="F11" s="40" t="s">
        <v>3</v>
      </c>
      <c r="G11" s="1"/>
    </row>
    <row r="12" spans="1:7" x14ac:dyDescent="0.25">
      <c r="A12" s="1"/>
      <c r="B12" s="43" t="s">
        <v>28</v>
      </c>
      <c r="C12" s="43"/>
      <c r="D12" s="43"/>
      <c r="E12" s="9">
        <f>SUM(E8:E11)</f>
        <v>7940000.2327701962</v>
      </c>
      <c r="F12" s="38" t="s">
        <v>3</v>
      </c>
      <c r="G12" s="1"/>
    </row>
    <row r="13" spans="1:7" x14ac:dyDescent="0.25">
      <c r="A13" s="1"/>
      <c r="B13" s="44" t="s">
        <v>16</v>
      </c>
      <c r="C13" s="44"/>
      <c r="D13" s="44"/>
      <c r="E13" s="44"/>
      <c r="F13" s="44"/>
      <c r="G13" s="1"/>
    </row>
    <row r="14" spans="1:7" ht="15" customHeight="1" x14ac:dyDescent="0.25">
      <c r="A14" s="1"/>
      <c r="B14" s="38" t="s">
        <v>16</v>
      </c>
      <c r="C14" s="38"/>
      <c r="D14" s="38"/>
      <c r="E14" s="9">
        <f>'Fane 4. Ikke-påvirkelige omk.'!C14*(1+'Fane 12. Nøgletal'!C12)^2</f>
        <v>5336598.9236366507</v>
      </c>
      <c r="F14" s="38" t="s">
        <v>3</v>
      </c>
      <c r="G14" s="1"/>
    </row>
    <row r="15" spans="1:7" ht="15" customHeight="1" x14ac:dyDescent="0.25">
      <c r="A15" s="1"/>
      <c r="B15" s="44" t="s">
        <v>84</v>
      </c>
      <c r="C15" s="44"/>
      <c r="D15" s="44"/>
      <c r="E15" s="44"/>
      <c r="F15" s="44"/>
      <c r="G15" s="1"/>
    </row>
    <row r="16" spans="1:7" ht="15" customHeight="1" x14ac:dyDescent="0.25">
      <c r="A16" s="1"/>
      <c r="B16" s="31" t="s">
        <v>80</v>
      </c>
      <c r="C16" s="40"/>
      <c r="D16" s="40"/>
      <c r="E16" s="8">
        <f>'Fane 8.2. Engangstillæg'!C27</f>
        <v>0</v>
      </c>
      <c r="F16" s="40" t="s">
        <v>3</v>
      </c>
      <c r="G16" s="1"/>
    </row>
    <row r="17" spans="1:7" ht="15" customHeight="1" x14ac:dyDescent="0.25">
      <c r="A17" s="1"/>
      <c r="B17" s="31" t="s">
        <v>81</v>
      </c>
      <c r="C17" s="40"/>
      <c r="D17" s="40"/>
      <c r="E17" s="8">
        <f>'Fane 8.2. Engangstillæg'!E27</f>
        <v>0</v>
      </c>
      <c r="F17" s="40" t="s">
        <v>3</v>
      </c>
      <c r="G17" s="1"/>
    </row>
    <row r="18" spans="1:7" ht="15" customHeight="1" x14ac:dyDescent="0.25">
      <c r="A18" s="1"/>
      <c r="B18" s="45" t="s">
        <v>85</v>
      </c>
      <c r="C18" s="43"/>
      <c r="D18" s="43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44" t="s">
        <v>95</v>
      </c>
      <c r="C19" s="44"/>
      <c r="D19" s="44"/>
      <c r="E19" s="44"/>
      <c r="F19" s="44"/>
      <c r="G19" s="1"/>
    </row>
    <row r="20" spans="1:7" ht="15" customHeight="1" x14ac:dyDescent="0.25">
      <c r="A20" s="1"/>
      <c r="B20" s="38" t="s">
        <v>131</v>
      </c>
      <c r="C20" s="38"/>
      <c r="D20" s="38"/>
      <c r="E20" s="9">
        <f>'Fane 2.2. Økonomisk ramme 2021'!E22</f>
        <v>-234523.73986001313</v>
      </c>
      <c r="F20" s="38" t="s">
        <v>3</v>
      </c>
      <c r="G20" s="1"/>
    </row>
    <row r="21" spans="1:7" x14ac:dyDescent="0.25">
      <c r="A21" s="1"/>
      <c r="B21" s="44" t="s">
        <v>40</v>
      </c>
      <c r="C21" s="44"/>
      <c r="D21" s="44"/>
      <c r="E21" s="10">
        <f>SUM(E12,E14,E18,E20)</f>
        <v>13042075.416546833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fdI7mvKW/GF9TZ9LUaxCMLB05zxd3vv9mxyGk4t0Mzwb2IKYfXDeZDlygIWn3DY7trJ2o3c4pa10Ezr4FE7gg==" saltValue="Tr1+jxbKsH/S9jMCLaFsK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145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4" t="s">
        <v>19</v>
      </c>
      <c r="C7" s="44"/>
      <c r="D7" s="44"/>
      <c r="E7" s="44"/>
      <c r="F7" s="44"/>
      <c r="G7" s="1"/>
    </row>
    <row r="8" spans="1:7" ht="15" customHeight="1" x14ac:dyDescent="0.25">
      <c r="A8" s="1"/>
      <c r="B8" s="40" t="s">
        <v>38</v>
      </c>
      <c r="C8" s="40"/>
      <c r="D8" s="40"/>
      <c r="E8" s="7">
        <f>'Fane 2.3. Økonomisk ramme 2022'!E12</f>
        <v>7940000.2327701962</v>
      </c>
      <c r="F8" s="40" t="s">
        <v>3</v>
      </c>
      <c r="G8" s="1"/>
    </row>
    <row r="9" spans="1:7" ht="15" customHeight="1" x14ac:dyDescent="0.25">
      <c r="A9" s="1"/>
      <c r="B9" s="40" t="s">
        <v>144</v>
      </c>
      <c r="C9" s="40"/>
      <c r="D9" s="40"/>
      <c r="E9" s="7">
        <f>-('Fane 10. Bortfald'!C30+'Fane 10. Bortfald'!E30)</f>
        <v>0</v>
      </c>
      <c r="F9" s="40" t="s">
        <v>3</v>
      </c>
      <c r="G9" s="1"/>
    </row>
    <row r="10" spans="1:7" ht="15" customHeight="1" x14ac:dyDescent="0.25">
      <c r="A10" s="1"/>
      <c r="B10" s="41" t="s">
        <v>26</v>
      </c>
      <c r="C10" s="40"/>
      <c r="D10" s="40"/>
      <c r="E10" s="8">
        <f>E8*'Fane 12. Nøgletal'!C12</f>
        <v>156418.00458557287</v>
      </c>
      <c r="F10" s="40" t="s">
        <v>3</v>
      </c>
      <c r="G10" s="1"/>
    </row>
    <row r="11" spans="1:7" ht="15" customHeight="1" x14ac:dyDescent="0.25">
      <c r="A11" s="1"/>
      <c r="B11" s="41" t="s">
        <v>115</v>
      </c>
      <c r="C11" s="40"/>
      <c r="D11" s="40"/>
      <c r="E11" s="8">
        <f>-SUM(E8:E10)*'Fane 12. Nøgletal'!C17</f>
        <v>-137639.11003504807</v>
      </c>
      <c r="F11" s="40" t="s">
        <v>3</v>
      </c>
      <c r="G11" s="1"/>
    </row>
    <row r="12" spans="1:7" x14ac:dyDescent="0.25">
      <c r="A12" s="1"/>
      <c r="B12" s="43" t="s">
        <v>28</v>
      </c>
      <c r="C12" s="43"/>
      <c r="D12" s="43"/>
      <c r="E12" s="9">
        <f>SUM(E8:E11)</f>
        <v>7958779.1273207208</v>
      </c>
      <c r="F12" s="38" t="s">
        <v>3</v>
      </c>
      <c r="G12" s="1"/>
    </row>
    <row r="13" spans="1:7" x14ac:dyDescent="0.25">
      <c r="A13" s="1"/>
      <c r="B13" s="44" t="s">
        <v>16</v>
      </c>
      <c r="C13" s="44"/>
      <c r="D13" s="44"/>
      <c r="E13" s="44"/>
      <c r="F13" s="44"/>
      <c r="G13" s="1"/>
    </row>
    <row r="14" spans="1:7" ht="15" customHeight="1" x14ac:dyDescent="0.25">
      <c r="A14" s="1"/>
      <c r="B14" s="38" t="s">
        <v>16</v>
      </c>
      <c r="C14" s="38"/>
      <c r="D14" s="38"/>
      <c r="E14" s="9">
        <f>'Fane 4. Ikke-påvirkelige omk.'!C14*(1+'Fane 12. Nøgletal'!C12)^3</f>
        <v>5441729.9224322923</v>
      </c>
      <c r="F14" s="38" t="s">
        <v>3</v>
      </c>
      <c r="G14" s="1"/>
    </row>
    <row r="15" spans="1:7" ht="15" customHeight="1" x14ac:dyDescent="0.25">
      <c r="A15" s="1"/>
      <c r="B15" s="44" t="s">
        <v>84</v>
      </c>
      <c r="C15" s="44"/>
      <c r="D15" s="44"/>
      <c r="E15" s="44"/>
      <c r="F15" s="44"/>
      <c r="G15" s="1"/>
    </row>
    <row r="16" spans="1:7" ht="15" customHeight="1" x14ac:dyDescent="0.25">
      <c r="A16" s="1"/>
      <c r="B16" s="31" t="s">
        <v>80</v>
      </c>
      <c r="C16" s="40"/>
      <c r="D16" s="40"/>
      <c r="E16" s="8">
        <f>'Fane 8.2. Engangstillæg'!C34</f>
        <v>0</v>
      </c>
      <c r="F16" s="40" t="s">
        <v>3</v>
      </c>
      <c r="G16" s="1"/>
    </row>
    <row r="17" spans="1:7" ht="15" customHeight="1" x14ac:dyDescent="0.25">
      <c r="A17" s="1"/>
      <c r="B17" s="31" t="s">
        <v>81</v>
      </c>
      <c r="C17" s="40"/>
      <c r="D17" s="40"/>
      <c r="E17" s="8">
        <f>'Fane 8.2. Engangstillæg'!E34</f>
        <v>0</v>
      </c>
      <c r="F17" s="40" t="s">
        <v>3</v>
      </c>
      <c r="G17" s="1"/>
    </row>
    <row r="18" spans="1:7" ht="15" customHeight="1" x14ac:dyDescent="0.25">
      <c r="A18" s="1"/>
      <c r="B18" s="45" t="s">
        <v>85</v>
      </c>
      <c r="C18" s="43"/>
      <c r="D18" s="43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44" t="s">
        <v>95</v>
      </c>
      <c r="C19" s="44"/>
      <c r="D19" s="44"/>
      <c r="E19" s="44"/>
      <c r="F19" s="44"/>
      <c r="G19" s="1"/>
    </row>
    <row r="20" spans="1:7" ht="15" customHeight="1" x14ac:dyDescent="0.25">
      <c r="A20" s="1"/>
      <c r="B20" s="38" t="s">
        <v>131</v>
      </c>
      <c r="C20" s="38"/>
      <c r="D20" s="38"/>
      <c r="E20" s="9">
        <f>'Fane 2.3. Økonomisk ramme 2022'!E20</f>
        <v>-234523.73986001313</v>
      </c>
      <c r="F20" s="38" t="s">
        <v>3</v>
      </c>
      <c r="G20" s="1"/>
    </row>
    <row r="21" spans="1:7" x14ac:dyDescent="0.25">
      <c r="A21" s="1"/>
      <c r="B21" s="44" t="s">
        <v>89</v>
      </c>
      <c r="C21" s="44"/>
      <c r="D21" s="44"/>
      <c r="E21" s="10">
        <f>SUM(E12,E14,E18,E20)</f>
        <v>13165985.309893001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flcPKwqhraIh3p4LTf8WpeqhCbKIbIr//7S3MEoX1A3qi7gM6U0L1lBy07nz35A2sj+M1iLLqPKM5Be+xEN5w==" saltValue="Hl6vp8PKNGMEkuLiR4wKG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138</v>
      </c>
      <c r="C3" s="73"/>
      <c r="D3" s="73"/>
      <c r="E3" s="73"/>
      <c r="F3" s="73"/>
      <c r="G3" s="1"/>
    </row>
    <row r="4" spans="1:7" ht="29.2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72</v>
      </c>
      <c r="C8" s="44"/>
      <c r="D8" s="44"/>
      <c r="E8" s="44"/>
      <c r="F8" s="44"/>
      <c r="G8" s="1"/>
    </row>
    <row r="9" spans="1:7" x14ac:dyDescent="0.25">
      <c r="A9" s="1"/>
      <c r="B9" s="74" t="s">
        <v>70</v>
      </c>
      <c r="C9" s="74"/>
      <c r="D9" s="74"/>
      <c r="E9" s="7">
        <v>6900750.8732937612</v>
      </c>
      <c r="F9" s="40" t="s">
        <v>3</v>
      </c>
      <c r="G9" s="1"/>
    </row>
    <row r="10" spans="1:7" x14ac:dyDescent="0.25">
      <c r="A10" s="1"/>
      <c r="B10" s="76" t="s">
        <v>140</v>
      </c>
      <c r="C10" s="76"/>
      <c r="D10" s="76"/>
      <c r="E10" s="7">
        <v>0</v>
      </c>
      <c r="F10" s="40" t="s">
        <v>3</v>
      </c>
      <c r="G10" s="1"/>
    </row>
    <row r="11" spans="1:7" x14ac:dyDescent="0.25">
      <c r="A11" s="1"/>
      <c r="B11" s="75" t="s">
        <v>141</v>
      </c>
      <c r="C11" s="75"/>
      <c r="D11" s="75"/>
      <c r="E11" s="7">
        <v>352936.49989999994</v>
      </c>
      <c r="F11" s="40" t="s">
        <v>3</v>
      </c>
      <c r="G11" s="1"/>
    </row>
    <row r="12" spans="1:7" x14ac:dyDescent="0.25">
      <c r="A12" s="1"/>
      <c r="B12" s="75" t="s">
        <v>142</v>
      </c>
      <c r="C12" s="75"/>
      <c r="D12" s="75"/>
      <c r="E12" s="8">
        <v>0</v>
      </c>
      <c r="F12" s="40" t="s">
        <v>3</v>
      </c>
      <c r="G12" s="1"/>
    </row>
    <row r="13" spans="1:7" x14ac:dyDescent="0.25">
      <c r="A13" s="1"/>
      <c r="B13" s="75" t="s">
        <v>26</v>
      </c>
      <c r="C13" s="75"/>
      <c r="D13" s="75"/>
      <c r="E13" s="8">
        <f>(SUM(E9:E9)-SUM(E10:E10))*'Fane 12. Nøgletal'!C9+SUM(E10:E10)*'Fane 12. Nøgletal'!C10+SUM(E11:E12)*'Fane 12. Nøgletal'!C11</f>
        <v>93604.162939140762</v>
      </c>
      <c r="F13" s="40" t="s">
        <v>3</v>
      </c>
      <c r="G13" s="1"/>
    </row>
    <row r="14" spans="1:7" x14ac:dyDescent="0.25">
      <c r="A14" s="1"/>
      <c r="B14" s="75" t="s">
        <v>115</v>
      </c>
      <c r="C14" s="75"/>
      <c r="D14" s="75"/>
      <c r="E14" s="8">
        <f>-SUM(E9:E9,E11:E13)*'Fane 12. Nøgletal'!C17</f>
        <v>-124903.95611425934</v>
      </c>
      <c r="F14" s="40" t="s">
        <v>3</v>
      </c>
      <c r="G14" s="1"/>
    </row>
    <row r="15" spans="1:7" x14ac:dyDescent="0.25">
      <c r="A15" s="1"/>
      <c r="B15" s="77" t="s">
        <v>28</v>
      </c>
      <c r="C15" s="77"/>
      <c r="D15" s="77"/>
      <c r="E15" s="9">
        <f>SUM(E9,E11:E14)</f>
        <v>7222387.5800186424</v>
      </c>
      <c r="F15" s="38" t="s">
        <v>3</v>
      </c>
      <c r="G15" s="1"/>
    </row>
    <row r="16" spans="1:7" x14ac:dyDescent="0.25">
      <c r="A16" s="1"/>
      <c r="B16" s="78" t="s">
        <v>16</v>
      </c>
      <c r="C16" s="78"/>
      <c r="D16" s="78"/>
      <c r="E16" s="44"/>
      <c r="F16" s="44"/>
      <c r="G16" s="1"/>
    </row>
    <row r="17" spans="1:7" x14ac:dyDescent="0.25">
      <c r="A17" s="1"/>
      <c r="B17" s="72" t="s">
        <v>16</v>
      </c>
      <c r="C17" s="72"/>
      <c r="D17" s="72"/>
      <c r="E17" s="9">
        <v>4592111.5362650594</v>
      </c>
      <c r="F17" s="38" t="s">
        <v>3</v>
      </c>
      <c r="G17" s="1"/>
    </row>
    <row r="18" spans="1:7" x14ac:dyDescent="0.25">
      <c r="A18" s="1"/>
      <c r="B18" s="44" t="s">
        <v>71</v>
      </c>
      <c r="C18" s="44"/>
      <c r="D18" s="44"/>
      <c r="E18" s="44"/>
      <c r="F18" s="44"/>
      <c r="G18" s="1"/>
    </row>
    <row r="19" spans="1:7" ht="27" customHeight="1" x14ac:dyDescent="0.25">
      <c r="A19" s="1"/>
      <c r="B19" s="71" t="s">
        <v>74</v>
      </c>
      <c r="C19" s="71"/>
      <c r="D19" s="71"/>
      <c r="E19" s="9">
        <v>23700.798607794382</v>
      </c>
      <c r="F19" s="38" t="s">
        <v>3</v>
      </c>
      <c r="G19" s="1"/>
    </row>
    <row r="20" spans="1:7" x14ac:dyDescent="0.25">
      <c r="A20" s="1"/>
      <c r="B20" s="44" t="s">
        <v>10</v>
      </c>
      <c r="C20" s="44"/>
      <c r="D20" s="44"/>
      <c r="E20" s="44"/>
      <c r="F20" s="44"/>
      <c r="G20" s="1"/>
    </row>
    <row r="21" spans="1:7" x14ac:dyDescent="0.25">
      <c r="A21" s="1"/>
      <c r="B21" s="72" t="s">
        <v>18</v>
      </c>
      <c r="C21" s="72"/>
      <c r="D21" s="72"/>
      <c r="E21" s="9">
        <v>-866740</v>
      </c>
      <c r="F21" s="38" t="s">
        <v>3</v>
      </c>
      <c r="G21" s="1"/>
    </row>
    <row r="22" spans="1:7" x14ac:dyDescent="0.25">
      <c r="A22" s="1"/>
      <c r="B22" s="44" t="s">
        <v>23</v>
      </c>
      <c r="C22" s="44"/>
      <c r="D22" s="44"/>
      <c r="E22" s="10">
        <f>SUM(E21,E19,E17,E15)</f>
        <v>10971459.914891496</v>
      </c>
      <c r="F22" s="11" t="s">
        <v>3</v>
      </c>
      <c r="G22" s="1"/>
    </row>
    <row r="23" spans="1:7" ht="28.5" customHeight="1" x14ac:dyDescent="0.25">
      <c r="A23" s="1"/>
      <c r="B23" s="70" t="s">
        <v>118</v>
      </c>
      <c r="C23" s="70"/>
      <c r="D23" s="70"/>
      <c r="E23" s="70"/>
      <c r="F23" s="70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klpcf6MFLMScfiCU0vEbdgjqrUZ9jUdOoNqWYLwjs3f9RhbY2w4Bm2JdFTV2GOOHN3SZOYBOTkRD9uaQEW1/A==" saltValue="qZGtoN14I8IsMblOnRUt2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8" t="s">
        <v>110</v>
      </c>
      <c r="C3" s="68"/>
      <c r="D3" s="68"/>
      <c r="E3" s="1"/>
      <c r="F3" s="1"/>
    </row>
    <row r="4" spans="1:6" ht="15" customHeight="1" x14ac:dyDescent="0.25">
      <c r="A4" s="1"/>
      <c r="B4" s="68"/>
      <c r="C4" s="68"/>
      <c r="D4" s="6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9" t="s">
        <v>58</v>
      </c>
      <c r="C8" s="80"/>
      <c r="D8" s="81"/>
      <c r="E8" s="1"/>
      <c r="F8" s="1"/>
    </row>
    <row r="9" spans="1:6" ht="15" customHeight="1" x14ac:dyDescent="0.25">
      <c r="A9" s="1"/>
      <c r="B9" s="19" t="s">
        <v>43</v>
      </c>
      <c r="C9" s="38" t="s">
        <v>59</v>
      </c>
      <c r="D9" s="38"/>
      <c r="E9" s="1"/>
      <c r="F9" s="1"/>
    </row>
    <row r="10" spans="1:6" x14ac:dyDescent="0.25">
      <c r="A10" s="1"/>
      <c r="B10" s="30" t="s">
        <v>162</v>
      </c>
      <c r="C10" s="8">
        <v>4925667</v>
      </c>
      <c r="D10" s="12" t="s">
        <v>3</v>
      </c>
      <c r="E10" s="1"/>
      <c r="F10" s="1"/>
    </row>
    <row r="11" spans="1:6" x14ac:dyDescent="0.25">
      <c r="A11" s="1"/>
      <c r="B11" s="34" t="s">
        <v>160</v>
      </c>
      <c r="C11" s="8">
        <v>8863</v>
      </c>
      <c r="D11" s="12" t="s">
        <v>3</v>
      </c>
      <c r="E11" s="1"/>
      <c r="F11" s="1"/>
    </row>
    <row r="12" spans="1:6" x14ac:dyDescent="0.25">
      <c r="A12" s="1"/>
      <c r="B12" s="34" t="s">
        <v>161</v>
      </c>
      <c r="C12" s="8">
        <v>1467</v>
      </c>
      <c r="D12" s="12" t="s">
        <v>3</v>
      </c>
      <c r="E12" s="1"/>
      <c r="F12" s="1"/>
    </row>
    <row r="13" spans="1:6" x14ac:dyDescent="0.25">
      <c r="A13" s="1"/>
      <c r="B13" s="48" t="s">
        <v>60</v>
      </c>
      <c r="C13" s="10">
        <f>SUM(C10:C12)</f>
        <v>4935997</v>
      </c>
      <c r="D13" s="11" t="s">
        <v>3</v>
      </c>
      <c r="E13" s="1"/>
      <c r="F13" s="1"/>
    </row>
    <row r="14" spans="1:6" x14ac:dyDescent="0.25">
      <c r="A14" s="1"/>
      <c r="B14" s="48" t="s">
        <v>61</v>
      </c>
      <c r="C14" s="10">
        <f>C13*(1+'Fane 12. Nøgletal'!C12)^2</f>
        <v>5132390.8928757301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K7+9pb383B7kzIC6dBFDTtfyr9xqkx3qHPllPTryStP95mZgGl3ilpLJzdGr/jplaF3FitjY4ynKyaXt1aqYA==" saltValue="F1S+7Vk7h3o5T36rgXY0o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3" t="s">
        <v>119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2" t="s">
        <v>47</v>
      </c>
      <c r="C6" s="82"/>
      <c r="D6" s="82"/>
      <c r="E6" s="82"/>
      <c r="F6" s="82"/>
      <c r="G6" s="1"/>
    </row>
    <row r="7" spans="1:7" ht="15" customHeight="1" x14ac:dyDescent="0.25">
      <c r="A7" s="1"/>
      <c r="B7" s="83" t="s">
        <v>45</v>
      </c>
      <c r="C7" s="83"/>
      <c r="D7" s="83"/>
      <c r="E7" s="8">
        <v>816443.93166666664</v>
      </c>
      <c r="F7" s="12" t="s">
        <v>3</v>
      </c>
      <c r="G7" s="1"/>
    </row>
    <row r="8" spans="1:7" ht="15" customHeight="1" x14ac:dyDescent="0.25">
      <c r="A8" s="1"/>
      <c r="B8" s="83" t="s">
        <v>46</v>
      </c>
      <c r="C8" s="83"/>
      <c r="D8" s="83"/>
      <c r="E8" s="8">
        <v>1133703.8910828512</v>
      </c>
      <c r="F8" s="12" t="s">
        <v>3</v>
      </c>
      <c r="G8" s="1"/>
    </row>
    <row r="9" spans="1:7" ht="15" customHeight="1" x14ac:dyDescent="0.25">
      <c r="A9" s="1"/>
      <c r="B9" s="85" t="s">
        <v>129</v>
      </c>
      <c r="C9" s="86"/>
      <c r="D9" s="87"/>
      <c r="E9" s="9">
        <f>SUM(E7:E8)</f>
        <v>1950147.8227495179</v>
      </c>
      <c r="F9" s="15" t="s">
        <v>3</v>
      </c>
      <c r="G9" s="1"/>
    </row>
    <row r="10" spans="1:7" ht="15" customHeight="1" x14ac:dyDescent="0.25">
      <c r="A10" s="1"/>
      <c r="B10" s="79"/>
      <c r="C10" s="80"/>
      <c r="D10" s="80"/>
      <c r="E10" s="80"/>
      <c r="F10" s="81"/>
      <c r="G10" s="1"/>
    </row>
    <row r="11" spans="1:7" ht="27" customHeight="1" x14ac:dyDescent="0.25">
      <c r="A11" s="1"/>
      <c r="B11" s="70" t="s">
        <v>113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2" t="s">
        <v>99</v>
      </c>
      <c r="C14" s="82"/>
      <c r="D14" s="82"/>
      <c r="E14" s="82"/>
      <c r="F14" s="82"/>
      <c r="G14" s="1"/>
    </row>
    <row r="15" spans="1:7" x14ac:dyDescent="0.25">
      <c r="A15" s="1"/>
      <c r="B15" s="83" t="s">
        <v>100</v>
      </c>
      <c r="C15" s="83"/>
      <c r="D15" s="83"/>
      <c r="E15" s="8">
        <v>11353859.453666668</v>
      </c>
      <c r="F15" s="12" t="s">
        <v>3</v>
      </c>
      <c r="G15" s="1"/>
    </row>
    <row r="16" spans="1:7" x14ac:dyDescent="0.25">
      <c r="A16" s="1"/>
      <c r="B16" s="83" t="s">
        <v>101</v>
      </c>
      <c r="C16" s="83"/>
      <c r="D16" s="83"/>
      <c r="E16" s="8">
        <v>13136454</v>
      </c>
      <c r="F16" s="12" t="s">
        <v>3</v>
      </c>
      <c r="G16" s="1"/>
    </row>
    <row r="17" spans="1:7" x14ac:dyDescent="0.25">
      <c r="A17" s="1"/>
      <c r="B17" s="83" t="s">
        <v>44</v>
      </c>
      <c r="C17" s="83"/>
      <c r="D17" s="83"/>
      <c r="E17" s="8">
        <v>0</v>
      </c>
      <c r="F17" s="12" t="s">
        <v>3</v>
      </c>
      <c r="G17" s="1"/>
    </row>
    <row r="18" spans="1:7" x14ac:dyDescent="0.25">
      <c r="A18" s="1"/>
      <c r="B18" s="84" t="s">
        <v>130</v>
      </c>
      <c r="C18" s="84"/>
      <c r="D18" s="84"/>
      <c r="E18" s="9">
        <f>E15-(E16-E17)</f>
        <v>-1782594.5463333316</v>
      </c>
      <c r="F18" s="15" t="s">
        <v>3</v>
      </c>
      <c r="G18" s="1"/>
    </row>
    <row r="19" spans="1:7" x14ac:dyDescent="0.25">
      <c r="A19" s="1"/>
      <c r="B19" s="88"/>
      <c r="C19" s="89"/>
      <c r="D19" s="89"/>
      <c r="E19" s="89"/>
      <c r="F19" s="90"/>
      <c r="G19" s="1"/>
    </row>
    <row r="20" spans="1:7" ht="28.5" customHeight="1" x14ac:dyDescent="0.25">
      <c r="A20" s="1"/>
      <c r="B20" s="70" t="s">
        <v>112</v>
      </c>
      <c r="C20" s="70"/>
      <c r="D20" s="70"/>
      <c r="E20" s="70"/>
      <c r="F20" s="7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2" t="s">
        <v>66</v>
      </c>
      <c r="C23" s="82"/>
      <c r="D23" s="82"/>
      <c r="E23" s="82"/>
      <c r="F23" s="82"/>
      <c r="G23" s="1"/>
    </row>
    <row r="24" spans="1:7" x14ac:dyDescent="0.25">
      <c r="A24" s="1"/>
      <c r="B24" s="83" t="s">
        <v>67</v>
      </c>
      <c r="C24" s="83"/>
      <c r="D24" s="83"/>
      <c r="E24" s="8">
        <v>10796350.764143761</v>
      </c>
      <c r="F24" s="12" t="s">
        <v>3</v>
      </c>
      <c r="G24" s="1"/>
    </row>
    <row r="25" spans="1:7" x14ac:dyDescent="0.25">
      <c r="A25" s="1"/>
      <c r="B25" s="83" t="s">
        <v>68</v>
      </c>
      <c r="C25" s="83"/>
      <c r="D25" s="83"/>
      <c r="E25" s="8">
        <v>11901999</v>
      </c>
      <c r="F25" s="12" t="s">
        <v>3</v>
      </c>
      <c r="G25" s="1"/>
    </row>
    <row r="26" spans="1:7" x14ac:dyDescent="0.25">
      <c r="A26" s="1"/>
      <c r="B26" s="83" t="s">
        <v>44</v>
      </c>
      <c r="C26" s="83"/>
      <c r="D26" s="83"/>
      <c r="E26" s="8">
        <v>0</v>
      </c>
      <c r="F26" s="12" t="s">
        <v>3</v>
      </c>
      <c r="G26" s="1"/>
    </row>
    <row r="27" spans="1:7" x14ac:dyDescent="0.25">
      <c r="A27" s="1"/>
      <c r="B27" s="84" t="s">
        <v>130</v>
      </c>
      <c r="C27" s="84"/>
      <c r="D27" s="84"/>
      <c r="E27" s="9">
        <f>E24-(E25-E26)</f>
        <v>-1105648.2358562388</v>
      </c>
      <c r="F27" s="15" t="s">
        <v>3</v>
      </c>
      <c r="G27" s="1"/>
    </row>
    <row r="28" spans="1:7" x14ac:dyDescent="0.25">
      <c r="A28" s="1"/>
      <c r="B28" s="79"/>
      <c r="C28" s="80"/>
      <c r="D28" s="80"/>
      <c r="E28" s="80"/>
      <c r="F28" s="8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2" t="s">
        <v>114</v>
      </c>
      <c r="C31" s="82"/>
      <c r="D31" s="82"/>
      <c r="E31" s="82"/>
      <c r="F31" s="82"/>
      <c r="G31" s="1"/>
    </row>
    <row r="32" spans="1:7" x14ac:dyDescent="0.25">
      <c r="A32" s="1"/>
      <c r="B32" s="76" t="s">
        <v>47</v>
      </c>
      <c r="C32" s="76"/>
      <c r="D32" s="76"/>
      <c r="E32" s="8">
        <f>E9</f>
        <v>1950147.8227495179</v>
      </c>
      <c r="F32" s="12" t="s">
        <v>3</v>
      </c>
      <c r="G32" s="1"/>
    </row>
    <row r="33" spans="1:7" x14ac:dyDescent="0.25">
      <c r="A33" s="1"/>
      <c r="B33" s="76" t="s">
        <v>128</v>
      </c>
      <c r="C33" s="76"/>
      <c r="D33" s="76"/>
      <c r="E33" s="8">
        <f>IF(E18+E27&lt;0,E18+E27,0)</f>
        <v>-2888242.7821895704</v>
      </c>
      <c r="F33" s="12" t="s">
        <v>3</v>
      </c>
      <c r="G33" s="1"/>
    </row>
    <row r="34" spans="1:7" x14ac:dyDescent="0.25">
      <c r="A34" s="1"/>
      <c r="B34" s="76" t="s">
        <v>122</v>
      </c>
      <c r="C34" s="76"/>
      <c r="D34" s="76"/>
      <c r="E34" s="8">
        <v>4</v>
      </c>
      <c r="F34" s="12" t="s">
        <v>27</v>
      </c>
      <c r="G34" s="1"/>
    </row>
    <row r="35" spans="1:7" x14ac:dyDescent="0.25">
      <c r="A35" s="1"/>
      <c r="B35" s="84" t="s">
        <v>149</v>
      </c>
      <c r="C35" s="84"/>
      <c r="D35" s="84"/>
      <c r="E35" s="9">
        <f>SUM(E32:E33)/E34</f>
        <v>-234523.73986001313</v>
      </c>
      <c r="F35" s="15" t="s">
        <v>3</v>
      </c>
      <c r="G35" s="1"/>
    </row>
    <row r="36" spans="1:7" x14ac:dyDescent="0.25">
      <c r="A36" s="1"/>
      <c r="B36" s="82"/>
      <c r="C36" s="82"/>
      <c r="D36" s="82"/>
      <c r="E36" s="82"/>
      <c r="F36" s="8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3gPk+W/Z0F5KIaOm2H5KB6332Lx7jZvSk8lak5k5Ca8TE0I0AqIDceCgK1QJZYeXc71gttW64zfFkzP7l0XmFw==" saltValue="LPDt9CpQaSkYyYR01kidx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3" t="s">
        <v>150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2" t="s">
        <v>94</v>
      </c>
      <c r="C8" s="82"/>
      <c r="D8" s="82"/>
      <c r="E8" s="82"/>
      <c r="F8" s="82"/>
      <c r="G8" s="1"/>
    </row>
    <row r="9" spans="1:7" ht="28.5" customHeight="1" x14ac:dyDescent="0.25">
      <c r="A9" s="1"/>
      <c r="B9" s="71" t="s">
        <v>98</v>
      </c>
      <c r="C9" s="71"/>
      <c r="D9" s="71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8" t="s">
        <v>3</v>
      </c>
      <c r="G9" s="1"/>
    </row>
    <row r="10" spans="1:7" x14ac:dyDescent="0.25">
      <c r="A10" s="1"/>
      <c r="B10" s="44" t="s">
        <v>109</v>
      </c>
      <c r="C10" s="44"/>
      <c r="D10" s="44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CSEejxInvWAaQlMP1PYw/eDQ7tKa8qBBjkfVErCokUe8BL+84q5qp/RHsYUB3cTNvBpdO70VpaYWefoFe500w==" saltValue="TiLaLFanNiZN97azKSf/Y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2019-10-07T12:46:28Z</dcterms:modified>
</cp:coreProperties>
</file>