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histed Spildevand Transport AS (S09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8" i="27" l="1"/>
  <c r="E30" i="27" s="1"/>
  <c r="G21" i="30"/>
  <c r="E31" i="27" l="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48" i="11" l="1"/>
  <c r="E49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6" i="27" s="1"/>
  <c r="C9" i="2" l="1"/>
  <c r="C26" i="15" l="1"/>
  <c r="F50" i="11" l="1"/>
  <c r="C10" i="37" s="1"/>
  <c r="C11" i="37" s="1"/>
  <c r="C12" i="37" s="1"/>
  <c r="C10" i="2" s="1"/>
  <c r="G50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50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<sst xmlns="http://schemas.openxmlformats.org/spreadsheetml/2006/main" count="754" uniqueCount="275">
  <si>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</si>
  <si>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</si>
  <si>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</si>
  <si>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</si>
  <si>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</si>
  <si>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</si>
  <si>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</si>
  <si>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</si>
  <si>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</si>
  <si>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</si>
  <si>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</si>
  <si>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</si>
  <si>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</si>
  <si>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</si>
  <si>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</si>
  <si>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</si>
  <si>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</si>
  <si>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</si>
  <si>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</si>
  <si>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</si>
  <si>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</si>
  <si>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</si>
  <si>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</si>
  <si>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</si>
  <si>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</si>
  <si>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</si>
  <si>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</si>
  <si>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</si>
  <si>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</si>
  <si>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</si>
  <si>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</si>
  <si>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</si>
  <si>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</si>
  <si>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</si>
  <si>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</si>
  <si>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</si>
  <si>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</si>
  <si>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</si>
  <si>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</si>
  <si>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</si>
  <si>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</si>
  <si>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</si>
  <si>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</si>
  <si>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</si>
  <si>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</si>
  <si>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</si>
  <si>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</si>
  <si>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</si>
  <si>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</si>
  <si>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</si>
  <si>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</si>
  <si>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</si>
  <si>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</si>
  <si>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</si>
  <si>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</si>
  <si>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</si>
  <si>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</si>
  <si>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</si>
  <si>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</si>
  <si>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</si>
  <si>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</si>
  <si>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</si>
  <si>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</si>
  <si>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</si>
  <si>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</si>
  <si>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</si>
  <si>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</si>
  <si>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</si>
  <si>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</si>
  <si>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</si>
  <si>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</si>
  <si>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</si>
  <si>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</si>
  <si>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</si>
  <si>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</si>
  <si>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</si>
  <si>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</si>
  <si>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</si>
  <si>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</si>
  <si>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</si>
  <si>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</si>
  <si>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</si>
  <si>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</si>
  <si>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</si>
  <si>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</si>
  <si>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</si>
  <si>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</si>
  <si>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</si>
  <si>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</si>
  <si>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</si>
  <si>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</si>
  <si>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</si>
  <si>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</si>
  <si>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</si>
  <si>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</si>
  <si>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</si>
  <si>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</si>
  <si>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</si>
  <si>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</si>
  <si>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</si>
  <si>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</si>
  <si>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</si>
  <si>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</si>
  <si>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</si>
  <si>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</si>
  <si>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</si>
  <si>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</si>
  <si>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</si>
  <si>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</si>
  <si>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</si>
  <si>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</si>
  <si>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</si>
  <si>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</si>
  <si>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</si>
  <si>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</si>
  <si>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</si>
  <si>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</si>
  <si>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</si>
  <si>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</si>
  <si>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</si>
  <si>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</si>
  <si>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</si>
  <si>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</si>
  <si>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</si>
  <si>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</si>
  <si>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</si>
  <si>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</si>
  <si>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</si>
  <si>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</si>
  <si>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</si>
  <si>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</si>
  <si>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</si>
  <si>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</si>
  <si>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</si>
  <si>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</si>
  <si>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</si>
  <si>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</si>
  <si>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</si>
  <si>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</si>
  <si>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</si>
  <si>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</si>
  <si>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</si>
  <si>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</si>
  <si>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</si>
  <si>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</si>
  <si>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</si>
  <si>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</si>
  <si>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</si>
  <si>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</si>
  <si>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</si>
  <si>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</si>
  <si>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</si>
  <si>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</si>
  <si>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</si>
  <si>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</si>
  <si>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</si>
  <si>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</si>
  <si>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</si>
  <si>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</si>
  <si>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</si>
  <si>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</si>
  <si>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</si>
  <si>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</si>
  <si>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</si>
  <si>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</si>
  <si>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</si>
  <si>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</si>
  <si>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</si>
  <si>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</si>
  <si>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</si>
  <si>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</si>
  <si>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</si>
  <si>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</si>
  <si>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</si>
  <si>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</si>
  <si>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</si>
  <si>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</si>
  <si>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</si>
  <si>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</si>
  <si>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</si>
  <si>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</si>
  <si>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</si>
  <si>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</si>
  <si>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</si>
  <si>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</si>
  <si>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</si>
  <si>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</si>
  <si>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</si>
  <si>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</si>
  <si>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</si>
  <si>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</si>
  <si>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</si>
  <si>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</si>
  <si>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</si>
  <si>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</si>
  <si>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</si>
  <si>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</si>
  <si>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</si>
  <si>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</si>
  <si>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</si>
  <si>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</si>
  <si>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</si>
  <si>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</si>
  <si>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</si>
  <si>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</si>
  <si>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</si>
  <si>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</si>
  <si>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</si>
  <si>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</si>
  <si>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</si>
  <si>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</si>
  <si>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</si>
  <si>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</si>
  <si>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</si>
  <si>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</si>
  <si>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</si>
  <si>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</si>
  <si>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</si>
  <si>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</si>
  <si>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</si>
  <si>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</si>
  <si>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</si>
  <si>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</si>
  <si>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</si>
  <si>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</si>
  <si>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</si>
  <si>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</si>
  <si>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</si>
  <si>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</si>
  <si>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</si>
  <si>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</si>
  <si>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</si>
  <si>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</si>
  <si>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</si>
  <si>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</si>
  <si>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</si>
  <si>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</si>
  <si>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</si>
  <si>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</si>
  <si>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</si>
  <si>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</si>
  <si>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</si>
  <si>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</si>
  <si>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</si>
  <si>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</si>
  <si>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</si>
  <si>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</si>
  <si>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</si>
  <si>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</si>
  <si>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</si>
  <si>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</si>
  <si>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</si>
  <si>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</si>
  <si>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</si>
  <si>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</si>
  <si>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</si>
  <si>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</si>
  <si>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</si>
  <si>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</si>
  <si>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</si>
  <si>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</si>
  <si>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Selskabsskat</t>
  </si>
  <si>
    <t>Erstatninger</t>
  </si>
  <si>
    <t>Ingen engangstillæg</t>
  </si>
  <si>
    <t>Jordbassin Klasse A</t>
  </si>
  <si>
    <t>Indløb-/udløbsarrangement</t>
  </si>
  <si>
    <t>Ø 200 mm &lt; Ledningsnet ≤ Ø 500 mm</t>
  </si>
  <si>
    <t>Stik</t>
  </si>
  <si>
    <t>Ledningsnet ≤ Ø 200 mm</t>
  </si>
  <si>
    <t>Brønde</t>
  </si>
  <si>
    <t>Ø 500 mm &lt; Ledningsnet ≤ Ø 800 mm</t>
  </si>
  <si>
    <t>Ø 1000 mm &lt; Ledningsnet ≤ Ø 1200 mm</t>
  </si>
  <si>
    <t>Ø 800 mm &lt; Ledningsnet ≤ Ø 1000 mm</t>
  </si>
  <si>
    <t>Anlægsprojekter igangsat senest 1. marts 2016</t>
  </si>
  <si>
    <t xml:space="preserve">Effektiviseringskrav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</si>
</sst>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3" fontId="8" fillId="4" borderId="6" xfId="0" applyNumberFormat="1" applyFont="1" applyFill="1" applyBorder="1" applyProtection="1"/>
    <xf numFmtId="3" fontId="8" fillId="0" borderId="6" xfId="0" applyNumberFormat="1" applyFont="1" applyFill="1" applyBorder="1" applyProtection="1"/>
    <xf numFmtId="0" fontId="8" fillId="0" borderId="1" xfId="0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71" t="s">
        <v>172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52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23</v>
      </c>
      <c r="D14" s="60" t="s">
        <v>54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51</v>
      </c>
      <c r="D15" s="60" t="s">
        <v>135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53</v>
      </c>
      <c r="D16" s="60" t="s">
        <v>136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241</v>
      </c>
      <c r="D17" s="60" t="s">
        <v>63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212</v>
      </c>
      <c r="D18" s="72" t="s">
        <v>180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213</v>
      </c>
      <c r="D19" s="72" t="s">
        <v>181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214</v>
      </c>
      <c r="D21" s="64" t="s">
        <v>17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142</v>
      </c>
      <c r="D22" s="67" t="s">
        <v>176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249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9</v>
      </c>
      <c r="D24" s="67" t="s">
        <v>55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215</v>
      </c>
      <c r="D25" s="67" t="s">
        <v>143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216</v>
      </c>
      <c r="D26" s="67" t="s">
        <v>144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217</v>
      </c>
      <c r="D27" s="67" t="s">
        <v>145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22</v>
      </c>
      <c r="D28" s="67" t="s">
        <v>56</v>
      </c>
      <c r="E28" s="68"/>
      <c r="F28" s="68"/>
      <c r="G28" s="69"/>
      <c r="H28" s="1"/>
      <c r="I28" s="1"/>
    </row>
    <row r="29" spans="1:9" x14ac:dyDescent="0.25">
      <c r="A29" s="1"/>
      <c r="B29" s="1"/>
      <c r="C29" s="6" t="s">
        <v>58</v>
      </c>
      <c r="D29" s="67" t="s">
        <v>57</v>
      </c>
      <c r="E29" s="68"/>
      <c r="F29" s="68"/>
      <c r="G29" s="69"/>
      <c r="H29" s="1"/>
      <c r="I29" s="1"/>
    </row>
    <row r="30" spans="1:9" x14ac:dyDescent="0.25">
      <c r="A30" s="1"/>
      <c r="B30" s="1"/>
      <c r="C30" s="6" t="s">
        <v>59</v>
      </c>
      <c r="D30" s="78" t="s">
        <v>11</v>
      </c>
      <c r="E30" s="79"/>
      <c r="F30" s="79"/>
      <c r="G30" s="80"/>
      <c r="H30" s="1"/>
      <c r="I30" s="1"/>
    </row>
    <row r="31" spans="1:9" x14ac:dyDescent="0.25">
      <c r="A31" s="1"/>
      <c r="B31" s="1"/>
      <c r="C31" s="6" t="s">
        <v>175</v>
      </c>
      <c r="D31" s="75" t="s">
        <v>207</v>
      </c>
      <c r="E31" s="76"/>
      <c r="F31" s="76"/>
      <c r="G31" s="77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e9aJEkvW0kOP0CEygkh8S4hRBOnOVgzFfM5Udpz86eHMsS9R2ASNAMfV2rBi9vtQEKXstBbHALY51rcGZVaK1w==" saltValue="kSqCrJEGrlflsIi0v35+K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1" t="s">
        <v>220</v>
      </c>
      <c r="C3" s="81"/>
      <c r="D3" s="81"/>
      <c r="E3" s="1"/>
      <c r="F3" s="1"/>
    </row>
    <row r="4" spans="1:6" ht="15" customHeight="1" x14ac:dyDescent="0.25">
      <c r="A4" s="1"/>
      <c r="B4" s="81"/>
      <c r="C4" s="81"/>
      <c r="D4" s="8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66</v>
      </c>
      <c r="C8" s="97"/>
      <c r="D8" s="98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6" t="s">
        <v>259</v>
      </c>
      <c r="C10" s="9">
        <v>46781</v>
      </c>
      <c r="D10" s="14" t="s">
        <v>3</v>
      </c>
      <c r="E10" s="1"/>
      <c r="F10" s="1"/>
    </row>
    <row r="11" spans="1:6" ht="26.25" x14ac:dyDescent="0.25">
      <c r="A11" s="1"/>
      <c r="B11" s="35" t="s">
        <v>260</v>
      </c>
      <c r="C11" s="9">
        <v>19417588</v>
      </c>
      <c r="D11" s="14" t="s">
        <v>3</v>
      </c>
      <c r="E11" s="1"/>
      <c r="F11" s="1"/>
    </row>
    <row r="12" spans="1:6" x14ac:dyDescent="0.25">
      <c r="A12" s="1"/>
      <c r="B12" s="35" t="s">
        <v>261</v>
      </c>
      <c r="C12" s="9">
        <v>2003215</v>
      </c>
      <c r="D12" s="14" t="s">
        <v>3</v>
      </c>
      <c r="E12" s="1"/>
      <c r="F12" s="1"/>
    </row>
    <row r="13" spans="1:6" x14ac:dyDescent="0.25">
      <c r="A13" s="1"/>
      <c r="B13" s="56" t="s">
        <v>262</v>
      </c>
      <c r="C13" s="9">
        <v>170141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21637725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22498648.749695253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6" t="s">
        <v>236</v>
      </c>
      <c r="C18" s="97"/>
      <c r="D18" s="98"/>
      <c r="E18" s="1"/>
      <c r="F18" s="1"/>
    </row>
    <row r="19" spans="1:6" x14ac:dyDescent="0.25">
      <c r="A19" s="1"/>
      <c r="B19" s="56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6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6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6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6"/>
      <c r="C23" s="97"/>
      <c r="D23" s="9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6" t="s">
        <v>196</v>
      </c>
      <c r="C26" s="97"/>
      <c r="D26" s="98"/>
      <c r="E26" s="1"/>
      <c r="F26" s="1"/>
    </row>
    <row r="27" spans="1:6" x14ac:dyDescent="0.25">
      <c r="A27" s="1"/>
      <c r="B27" s="56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6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6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6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6"/>
      <c r="C31" s="97"/>
      <c r="D31" s="9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G77VPlMXtEYqZ5p142bd2pvuXvIP3ljW3bU1++N//7N883wIzqWCrnj7/xuLQqcjX/rkO1OtBPjEkKb/L6JSmw==" saltValue="mxFh1OaUSCU5wmEPiYGDR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226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183</v>
      </c>
      <c r="C8" s="97"/>
      <c r="D8" s="97"/>
      <c r="E8" s="97"/>
      <c r="F8" s="98"/>
      <c r="G8" s="1"/>
    </row>
    <row r="9" spans="1:7" x14ac:dyDescent="0.25">
      <c r="A9" s="1"/>
      <c r="B9" s="102" t="s">
        <v>184</v>
      </c>
      <c r="C9" s="103"/>
      <c r="D9" s="104"/>
      <c r="E9" s="9">
        <v>70711537.395326674</v>
      </c>
      <c r="F9" s="14" t="s">
        <v>3</v>
      </c>
      <c r="G9" s="1"/>
    </row>
    <row r="10" spans="1:7" x14ac:dyDescent="0.25">
      <c r="A10" s="1"/>
      <c r="B10" s="102" t="s">
        <v>185</v>
      </c>
      <c r="C10" s="103"/>
      <c r="D10" s="104"/>
      <c r="E10" s="9">
        <v>67367531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90" t="s">
        <v>186</v>
      </c>
      <c r="C12" s="91"/>
      <c r="D12" s="92"/>
      <c r="E12" s="10">
        <f>E9-(E10-E11)</f>
        <v>3344006.395326674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3" t="s">
        <v>208</v>
      </c>
      <c r="C14" s="84"/>
      <c r="D14" s="84"/>
      <c r="E14" s="84"/>
      <c r="F14" s="85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6" t="s">
        <v>73</v>
      </c>
      <c r="C17" s="97"/>
      <c r="D17" s="97"/>
      <c r="E17" s="97"/>
      <c r="F17" s="98"/>
      <c r="G17" s="1"/>
    </row>
    <row r="18" spans="1:7" x14ac:dyDescent="0.25">
      <c r="A18" s="1"/>
      <c r="B18" s="102" t="s">
        <v>74</v>
      </c>
      <c r="C18" s="103"/>
      <c r="D18" s="104"/>
      <c r="E18" s="9">
        <v>85943530.576811448</v>
      </c>
      <c r="F18" s="14" t="s">
        <v>3</v>
      </c>
      <c r="G18" s="1"/>
    </row>
    <row r="19" spans="1:7" x14ac:dyDescent="0.25">
      <c r="A19" s="1"/>
      <c r="B19" s="102" t="s">
        <v>75</v>
      </c>
      <c r="C19" s="103"/>
      <c r="D19" s="104"/>
      <c r="E19" s="9">
        <v>70700548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90" t="s">
        <v>76</v>
      </c>
      <c r="C21" s="91"/>
      <c r="D21" s="92"/>
      <c r="E21" s="10">
        <f>E18-(E19-E20)</f>
        <v>15242982.576811448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6" t="s">
        <v>179</v>
      </c>
      <c r="C25" s="97"/>
      <c r="D25" s="97"/>
      <c r="E25" s="97"/>
      <c r="F25" s="98"/>
      <c r="G25" s="1"/>
    </row>
    <row r="26" spans="1:7" x14ac:dyDescent="0.25">
      <c r="A26" s="1"/>
      <c r="B26" s="110" t="s">
        <v>174</v>
      </c>
      <c r="C26" s="111"/>
      <c r="D26" s="112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0" t="s">
        <v>204</v>
      </c>
      <c r="C27" s="111"/>
      <c r="D27" s="112"/>
      <c r="E27" s="9">
        <v>2</v>
      </c>
      <c r="F27" s="14" t="s">
        <v>28</v>
      </c>
      <c r="G27" s="1"/>
    </row>
    <row r="28" spans="1:7" x14ac:dyDescent="0.25">
      <c r="A28" s="1"/>
      <c r="B28" s="90" t="s">
        <v>251</v>
      </c>
      <c r="C28" s="91"/>
      <c r="D28" s="92"/>
      <c r="E28" s="10">
        <f>E26/E27</f>
        <v>0</v>
      </c>
      <c r="F28" s="17" t="s">
        <v>3</v>
      </c>
      <c r="G28" s="1"/>
    </row>
    <row r="29" spans="1:7" x14ac:dyDescent="0.25">
      <c r="A29" s="1"/>
      <c r="B29" s="113"/>
      <c r="C29" s="114"/>
      <c r="D29" s="114"/>
      <c r="E29" s="114"/>
      <c r="F29" s="115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KB0WpbIC6mGqhDDKw2+VT6YVZOG3xJRjuFiR8NtZIETjMDQr/cOlCY+FdSAlhpSMaS7dkvdHtFxHZh/gzz4NQ==" saltValue="iCEPVxG3rf6X97LmNCCvF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252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177</v>
      </c>
      <c r="C9" s="97"/>
      <c r="D9" s="97"/>
      <c r="E9" s="97"/>
      <c r="F9" s="97"/>
      <c r="G9" s="1"/>
    </row>
    <row r="10" spans="1:7" x14ac:dyDescent="0.25">
      <c r="A10" s="1"/>
      <c r="B10" s="83" t="s">
        <v>201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102" t="s">
        <v>202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0" t="s">
        <v>203</v>
      </c>
      <c r="C12" s="91"/>
      <c r="D12" s="92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178</v>
      </c>
      <c r="C13" s="97"/>
      <c r="D13" s="97"/>
      <c r="E13" s="97"/>
      <c r="F13" s="97"/>
      <c r="G13" s="1"/>
    </row>
    <row r="14" spans="1:7" x14ac:dyDescent="0.25">
      <c r="A14" s="1"/>
      <c r="B14" s="102" t="s">
        <v>210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83" t="s">
        <v>211</v>
      </c>
      <c r="C15" s="84"/>
      <c r="D15" s="85"/>
      <c r="E15" s="9">
        <v>0</v>
      </c>
      <c r="F15" s="8" t="s">
        <v>3</v>
      </c>
      <c r="G15" s="1"/>
    </row>
    <row r="16" spans="1:7" x14ac:dyDescent="0.25">
      <c r="A16" s="1"/>
      <c r="B16" s="90" t="s">
        <v>203</v>
      </c>
      <c r="C16" s="91"/>
      <c r="D16" s="92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6" t="s">
        <v>173</v>
      </c>
      <c r="C17" s="97"/>
      <c r="D17" s="97"/>
      <c r="E17" s="97"/>
      <c r="F17" s="97"/>
      <c r="G17" s="1"/>
    </row>
    <row r="18" spans="1:7" ht="28.15" customHeight="1" x14ac:dyDescent="0.25">
      <c r="A18" s="1"/>
      <c r="B18" s="83" t="s">
        <v>258</v>
      </c>
      <c r="C18" s="84"/>
      <c r="D18" s="85"/>
      <c r="E18" s="9">
        <v>0</v>
      </c>
      <c r="F18" s="8" t="s">
        <v>3</v>
      </c>
      <c r="G18" s="1"/>
    </row>
    <row r="19" spans="1:7" ht="29.25" customHeight="1" x14ac:dyDescent="0.25">
      <c r="A19" s="1"/>
      <c r="B19" s="93" t="s">
        <v>182</v>
      </c>
      <c r="C19" s="94"/>
      <c r="D19" s="95"/>
      <c r="E19" s="10">
        <f>IF('Fane 3. Omkostninger i ØR2019'!E33-'Fane 3. Omkostninger i ØR2019'!E33/(1+'Fane 15. Nøgletal'!C11)^2+E18&lt;0,-('Fane 3. Omkostninger i ØR2019'!E33-'Fane 3. Omkostninger i ØR2019'!E33/(1+'Fane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EvONk1Di6EYKWqEJegiPkrt0Ww/d5nOlHJ+ZG0hdALh5WKiuAraPcyiFBiu4mc1a+qkUYBIQ4tBf8Tfrqq2/Q==" saltValue="iCYVzv1DkAllgQ/5SjSWb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8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253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254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8" t="s">
        <v>264</v>
      </c>
      <c r="C10" s="59">
        <v>50</v>
      </c>
      <c r="D10" s="9">
        <v>744440</v>
      </c>
      <c r="E10" s="9">
        <f>IFERROR(D10/C10,0)</f>
        <v>14888.8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8" t="s">
        <v>265</v>
      </c>
      <c r="C11" s="59">
        <v>75</v>
      </c>
      <c r="D11" s="9">
        <v>127618</v>
      </c>
      <c r="E11" s="9">
        <f t="shared" ref="E11:E47" si="0">IFERROR(D11/C11,0)</f>
        <v>1701.5733333333333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8" t="s">
        <v>266</v>
      </c>
      <c r="C12" s="59">
        <v>75</v>
      </c>
      <c r="D12" s="9">
        <v>1226591</v>
      </c>
      <c r="E12" s="9">
        <f t="shared" si="0"/>
        <v>16354.546666666667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8" t="s">
        <v>267</v>
      </c>
      <c r="C13" s="59">
        <v>75</v>
      </c>
      <c r="D13" s="9">
        <v>815801</v>
      </c>
      <c r="E13" s="9">
        <f t="shared" si="0"/>
        <v>10877.346666666666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8" t="s">
        <v>268</v>
      </c>
      <c r="C14" s="59">
        <v>75</v>
      </c>
      <c r="D14" s="9">
        <v>781524</v>
      </c>
      <c r="E14" s="9">
        <f t="shared" si="0"/>
        <v>10420.32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8" t="s">
        <v>269</v>
      </c>
      <c r="C15" s="59">
        <v>75</v>
      </c>
      <c r="D15" s="9">
        <v>462744</v>
      </c>
      <c r="E15" s="9">
        <f t="shared" si="0"/>
        <v>6169.92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8" t="s">
        <v>270</v>
      </c>
      <c r="C16" s="59">
        <v>75</v>
      </c>
      <c r="D16" s="9">
        <v>139852</v>
      </c>
      <c r="E16" s="9">
        <f t="shared" si="0"/>
        <v>1864.6933333333334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8" t="s">
        <v>264</v>
      </c>
      <c r="C17" s="59">
        <v>50</v>
      </c>
      <c r="D17" s="9">
        <v>683000</v>
      </c>
      <c r="E17" s="9">
        <f t="shared" si="0"/>
        <v>13660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8" t="s">
        <v>267</v>
      </c>
      <c r="C18" s="59">
        <v>75</v>
      </c>
      <c r="D18" s="9">
        <v>774781</v>
      </c>
      <c r="E18" s="9">
        <f t="shared" si="0"/>
        <v>10330.413333333334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8" t="s">
        <v>269</v>
      </c>
      <c r="C19" s="59">
        <v>75</v>
      </c>
      <c r="D19" s="9">
        <v>523632</v>
      </c>
      <c r="E19" s="9">
        <f t="shared" si="0"/>
        <v>6981.76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8" t="s">
        <v>266</v>
      </c>
      <c r="C20" s="59">
        <v>75</v>
      </c>
      <c r="D20" s="9">
        <v>938222</v>
      </c>
      <c r="E20" s="9">
        <f t="shared" si="0"/>
        <v>12509.626666666667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8" t="s">
        <v>270</v>
      </c>
      <c r="C21" s="59">
        <v>75</v>
      </c>
      <c r="D21" s="9">
        <v>827532</v>
      </c>
      <c r="E21" s="9">
        <f t="shared" si="0"/>
        <v>11033.76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8" t="s">
        <v>268</v>
      </c>
      <c r="C22" s="59">
        <v>75</v>
      </c>
      <c r="D22" s="9">
        <v>746175</v>
      </c>
      <c r="E22" s="9">
        <f t="shared" si="0"/>
        <v>9949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8" t="s">
        <v>266</v>
      </c>
      <c r="C23" s="59">
        <v>75</v>
      </c>
      <c r="D23" s="9">
        <v>1485550.97</v>
      </c>
      <c r="E23" s="9">
        <f t="shared" si="0"/>
        <v>19807.346266666667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8" t="s">
        <v>271</v>
      </c>
      <c r="C24" s="59">
        <v>75</v>
      </c>
      <c r="D24" s="9">
        <v>1029414.73</v>
      </c>
      <c r="E24" s="9">
        <f t="shared" si="0"/>
        <v>13725.529733333333</v>
      </c>
      <c r="F24" s="9">
        <v>0</v>
      </c>
      <c r="G24" s="9">
        <v>0</v>
      </c>
      <c r="H24" s="14" t="s">
        <v>3</v>
      </c>
      <c r="I24" s="1"/>
    </row>
    <row r="25" spans="1:9" x14ac:dyDescent="0.25">
      <c r="A25" s="1"/>
      <c r="B25" s="58" t="s">
        <v>268</v>
      </c>
      <c r="C25" s="59">
        <v>75</v>
      </c>
      <c r="D25" s="9">
        <v>904801.37</v>
      </c>
      <c r="E25" s="9">
        <f t="shared" si="0"/>
        <v>12064.018266666666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8" t="s">
        <v>267</v>
      </c>
      <c r="C26" s="59">
        <v>75</v>
      </c>
      <c r="D26" s="9">
        <v>804711.46</v>
      </c>
      <c r="E26" s="9">
        <f t="shared" si="0"/>
        <v>10729.486133333332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58" t="s">
        <v>269</v>
      </c>
      <c r="C27" s="59">
        <v>75</v>
      </c>
      <c r="D27" s="9">
        <v>590273.81999999995</v>
      </c>
      <c r="E27" s="9">
        <f t="shared" si="0"/>
        <v>7870.3175999999994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58" t="s">
        <v>270</v>
      </c>
      <c r="C28" s="59">
        <v>75</v>
      </c>
      <c r="D28" s="9">
        <v>445984.67</v>
      </c>
      <c r="E28" s="9">
        <f t="shared" si="0"/>
        <v>5946.4622666666664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8" t="s">
        <v>272</v>
      </c>
      <c r="C29" s="59">
        <v>75</v>
      </c>
      <c r="D29" s="9">
        <v>91250.06</v>
      </c>
      <c r="E29" s="9">
        <f t="shared" si="0"/>
        <v>1216.6674666666665</v>
      </c>
      <c r="F29" s="9">
        <v>0</v>
      </c>
      <c r="G29" s="9">
        <v>0</v>
      </c>
      <c r="H29" s="14" t="s">
        <v>3</v>
      </c>
      <c r="I29" s="1"/>
    </row>
    <row r="30" spans="1:9" x14ac:dyDescent="0.25">
      <c r="A30" s="1"/>
      <c r="B30" s="58" t="s">
        <v>269</v>
      </c>
      <c r="C30" s="59">
        <v>75</v>
      </c>
      <c r="D30" s="9">
        <v>679097.85</v>
      </c>
      <c r="E30" s="9">
        <f t="shared" si="0"/>
        <v>9054.637999999999</v>
      </c>
      <c r="F30" s="9">
        <v>0</v>
      </c>
      <c r="G30" s="9">
        <v>0</v>
      </c>
      <c r="H30" s="14" t="s">
        <v>3</v>
      </c>
      <c r="I30" s="1"/>
    </row>
    <row r="31" spans="1:9" x14ac:dyDescent="0.25">
      <c r="A31" s="1"/>
      <c r="B31" s="58" t="s">
        <v>267</v>
      </c>
      <c r="C31" s="59">
        <v>75</v>
      </c>
      <c r="D31" s="9">
        <v>670971.89</v>
      </c>
      <c r="E31" s="9">
        <f t="shared" si="0"/>
        <v>8946.2918666666665</v>
      </c>
      <c r="F31" s="9">
        <v>0</v>
      </c>
      <c r="G31" s="9">
        <v>0</v>
      </c>
      <c r="H31" s="14" t="s">
        <v>3</v>
      </c>
      <c r="I31" s="1"/>
    </row>
    <row r="32" spans="1:9" ht="26.25" x14ac:dyDescent="0.25">
      <c r="A32" s="1"/>
      <c r="B32" s="58" t="s">
        <v>266</v>
      </c>
      <c r="C32" s="59">
        <v>75</v>
      </c>
      <c r="D32" s="9">
        <v>1254183.44</v>
      </c>
      <c r="E32" s="9">
        <f t="shared" si="0"/>
        <v>16722.445866666665</v>
      </c>
      <c r="F32" s="9">
        <v>0</v>
      </c>
      <c r="G32" s="9">
        <v>0</v>
      </c>
      <c r="H32" s="14" t="s">
        <v>3</v>
      </c>
      <c r="I32" s="1"/>
    </row>
    <row r="33" spans="1:9" x14ac:dyDescent="0.25">
      <c r="A33" s="1"/>
      <c r="B33" s="58" t="s">
        <v>268</v>
      </c>
      <c r="C33" s="59">
        <v>75</v>
      </c>
      <c r="D33" s="9">
        <v>1033331.54</v>
      </c>
      <c r="E33" s="9">
        <f t="shared" si="0"/>
        <v>13777.753866666668</v>
      </c>
      <c r="F33" s="9">
        <v>0</v>
      </c>
      <c r="G33" s="9">
        <v>0</v>
      </c>
      <c r="H33" s="14" t="s">
        <v>3</v>
      </c>
      <c r="I33" s="1"/>
    </row>
    <row r="34" spans="1:9" ht="26.25" x14ac:dyDescent="0.25">
      <c r="A34" s="1"/>
      <c r="B34" s="58" t="s">
        <v>270</v>
      </c>
      <c r="C34" s="59">
        <v>75</v>
      </c>
      <c r="D34" s="9">
        <v>284176.33</v>
      </c>
      <c r="E34" s="9">
        <f t="shared" si="0"/>
        <v>3789.0177333333336</v>
      </c>
      <c r="F34" s="9">
        <v>0</v>
      </c>
      <c r="G34" s="9">
        <v>0</v>
      </c>
      <c r="H34" s="14" t="s">
        <v>3</v>
      </c>
      <c r="I34" s="1"/>
    </row>
    <row r="35" spans="1:9" x14ac:dyDescent="0.25">
      <c r="A35" s="1"/>
      <c r="B35" s="58" t="s">
        <v>264</v>
      </c>
      <c r="C35" s="59">
        <v>50</v>
      </c>
      <c r="D35" s="9">
        <v>634239.19999999995</v>
      </c>
      <c r="E35" s="9">
        <f t="shared" si="0"/>
        <v>12684.784</v>
      </c>
      <c r="F35" s="9">
        <v>0</v>
      </c>
      <c r="G35" s="9">
        <v>0</v>
      </c>
      <c r="H35" s="14" t="s">
        <v>3</v>
      </c>
      <c r="I35" s="1"/>
    </row>
    <row r="36" spans="1:9" x14ac:dyDescent="0.25">
      <c r="A36" s="1"/>
      <c r="B36" s="58" t="s">
        <v>265</v>
      </c>
      <c r="C36" s="59">
        <v>75</v>
      </c>
      <c r="D36" s="9">
        <v>41795.01</v>
      </c>
      <c r="E36" s="9">
        <f t="shared" si="0"/>
        <v>557.26679999999999</v>
      </c>
      <c r="F36" s="9">
        <v>0</v>
      </c>
      <c r="G36" s="9">
        <v>0</v>
      </c>
      <c r="H36" s="14" t="s">
        <v>3</v>
      </c>
      <c r="I36" s="1"/>
    </row>
    <row r="37" spans="1:9" x14ac:dyDescent="0.25">
      <c r="A37" s="1"/>
      <c r="B37" s="58" t="s">
        <v>267</v>
      </c>
      <c r="C37" s="59">
        <v>75</v>
      </c>
      <c r="D37" s="9">
        <v>885218.98</v>
      </c>
      <c r="E37" s="9">
        <f t="shared" si="0"/>
        <v>11802.919733333332</v>
      </c>
      <c r="F37" s="9">
        <v>0</v>
      </c>
      <c r="G37" s="9">
        <v>0</v>
      </c>
      <c r="H37" s="14" t="s">
        <v>3</v>
      </c>
      <c r="I37" s="1"/>
    </row>
    <row r="38" spans="1:9" ht="26.25" x14ac:dyDescent="0.25">
      <c r="A38" s="1"/>
      <c r="B38" s="58" t="s">
        <v>266</v>
      </c>
      <c r="C38" s="59">
        <v>75</v>
      </c>
      <c r="D38" s="9">
        <v>713111.86</v>
      </c>
      <c r="E38" s="9">
        <f t="shared" si="0"/>
        <v>9508.1581333333324</v>
      </c>
      <c r="F38" s="9">
        <v>0</v>
      </c>
      <c r="G38" s="9">
        <v>0</v>
      </c>
      <c r="H38" s="14" t="s">
        <v>3</v>
      </c>
      <c r="I38" s="1"/>
    </row>
    <row r="39" spans="1:9" x14ac:dyDescent="0.25">
      <c r="A39" s="1"/>
      <c r="B39" s="58" t="s">
        <v>268</v>
      </c>
      <c r="C39" s="59">
        <v>75</v>
      </c>
      <c r="D39" s="9">
        <v>601326.75</v>
      </c>
      <c r="E39" s="9">
        <f t="shared" si="0"/>
        <v>8017.69</v>
      </c>
      <c r="F39" s="9">
        <v>0</v>
      </c>
      <c r="G39" s="9">
        <v>0</v>
      </c>
      <c r="H39" s="14" t="s">
        <v>3</v>
      </c>
      <c r="I39" s="1"/>
    </row>
    <row r="40" spans="1:9" x14ac:dyDescent="0.25">
      <c r="A40" s="1"/>
      <c r="B40" s="58" t="s">
        <v>269</v>
      </c>
      <c r="C40" s="59">
        <v>75</v>
      </c>
      <c r="D40" s="9">
        <v>334746.67</v>
      </c>
      <c r="E40" s="9">
        <f t="shared" si="0"/>
        <v>4463.2889333333333</v>
      </c>
      <c r="F40" s="9">
        <v>0</v>
      </c>
      <c r="G40" s="9">
        <v>0</v>
      </c>
      <c r="H40" s="14" t="s">
        <v>3</v>
      </c>
      <c r="I40" s="1"/>
    </row>
    <row r="41" spans="1:9" ht="26.25" x14ac:dyDescent="0.25">
      <c r="A41" s="1"/>
      <c r="B41" s="58" t="s">
        <v>266</v>
      </c>
      <c r="C41" s="59">
        <v>75</v>
      </c>
      <c r="D41" s="9">
        <v>749621.61</v>
      </c>
      <c r="E41" s="9">
        <f t="shared" si="0"/>
        <v>9994.9547999999995</v>
      </c>
      <c r="F41" s="9">
        <v>0</v>
      </c>
      <c r="G41" s="9">
        <v>0</v>
      </c>
      <c r="H41" s="14" t="s">
        <v>3</v>
      </c>
      <c r="I41" s="1"/>
    </row>
    <row r="42" spans="1:9" ht="26.25" x14ac:dyDescent="0.25">
      <c r="A42" s="1"/>
      <c r="B42" s="58" t="s">
        <v>266</v>
      </c>
      <c r="C42" s="59">
        <v>75</v>
      </c>
      <c r="D42" s="9">
        <v>522801.58</v>
      </c>
      <c r="E42" s="9">
        <f t="shared" si="0"/>
        <v>6970.6877333333332</v>
      </c>
      <c r="F42" s="9">
        <v>0</v>
      </c>
      <c r="G42" s="9">
        <v>0</v>
      </c>
      <c r="H42" s="14" t="s">
        <v>3</v>
      </c>
      <c r="I42" s="1"/>
    </row>
    <row r="43" spans="1:9" ht="26.25" x14ac:dyDescent="0.25">
      <c r="A43" s="1"/>
      <c r="B43" s="58" t="s">
        <v>272</v>
      </c>
      <c r="C43" s="59">
        <v>75</v>
      </c>
      <c r="D43" s="9">
        <v>196329.47</v>
      </c>
      <c r="E43" s="9">
        <f t="shared" si="0"/>
        <v>2617.7262666666666</v>
      </c>
      <c r="F43" s="9">
        <v>0</v>
      </c>
      <c r="G43" s="9">
        <v>0</v>
      </c>
      <c r="H43" s="14" t="s">
        <v>3</v>
      </c>
      <c r="I43" s="1"/>
    </row>
    <row r="44" spans="1:9" x14ac:dyDescent="0.25">
      <c r="A44" s="1"/>
      <c r="B44" s="58" t="s">
        <v>269</v>
      </c>
      <c r="C44" s="59">
        <v>75</v>
      </c>
      <c r="D44" s="9">
        <v>66930.5</v>
      </c>
      <c r="E44" s="9">
        <f t="shared" si="0"/>
        <v>892.40666666666664</v>
      </c>
      <c r="F44" s="9">
        <v>0</v>
      </c>
      <c r="G44" s="9">
        <v>0</v>
      </c>
      <c r="H44" s="14" t="s">
        <v>3</v>
      </c>
      <c r="I44" s="1"/>
    </row>
    <row r="45" spans="1:9" x14ac:dyDescent="0.25">
      <c r="A45" s="1"/>
      <c r="B45" s="58" t="s">
        <v>267</v>
      </c>
      <c r="C45" s="59">
        <v>75</v>
      </c>
      <c r="D45" s="9">
        <v>1040099.22</v>
      </c>
      <c r="E45" s="9">
        <f t="shared" si="0"/>
        <v>13867.989599999999</v>
      </c>
      <c r="F45" s="9">
        <v>0</v>
      </c>
      <c r="G45" s="9">
        <v>0</v>
      </c>
      <c r="H45" s="14" t="s">
        <v>3</v>
      </c>
      <c r="I45" s="1"/>
    </row>
    <row r="46" spans="1:9" x14ac:dyDescent="0.25">
      <c r="A46" s="1"/>
      <c r="B46" s="58" t="s">
        <v>269</v>
      </c>
      <c r="C46" s="59">
        <v>75</v>
      </c>
      <c r="D46" s="9">
        <v>484359.93</v>
      </c>
      <c r="E46" s="9">
        <f t="shared" si="0"/>
        <v>6458.1323999999995</v>
      </c>
      <c r="F46" s="9">
        <v>0</v>
      </c>
      <c r="G46" s="9">
        <v>0</v>
      </c>
      <c r="H46" s="14" t="s">
        <v>3</v>
      </c>
      <c r="I46" s="1"/>
    </row>
    <row r="47" spans="1:9" ht="26.25" x14ac:dyDescent="0.25">
      <c r="A47" s="1"/>
      <c r="B47" s="58" t="s">
        <v>271</v>
      </c>
      <c r="C47" s="59">
        <v>75</v>
      </c>
      <c r="D47" s="9">
        <v>1722168.64</v>
      </c>
      <c r="E47" s="9">
        <f t="shared" si="0"/>
        <v>22962.248533333332</v>
      </c>
      <c r="F47" s="9">
        <v>0</v>
      </c>
      <c r="G47" s="9">
        <v>0</v>
      </c>
      <c r="H47" s="14" t="s">
        <v>3</v>
      </c>
      <c r="I47" s="1"/>
    </row>
    <row r="48" spans="1:9" ht="26.25" x14ac:dyDescent="0.25">
      <c r="A48" s="1"/>
      <c r="B48" s="58" t="s">
        <v>266</v>
      </c>
      <c r="C48" s="59">
        <v>75</v>
      </c>
      <c r="D48" s="9">
        <v>1270212.68</v>
      </c>
      <c r="E48" s="9">
        <f t="shared" ref="E48:E49" si="1">IFERROR(D48/C48,0)</f>
        <v>16936.169066666665</v>
      </c>
      <c r="F48" s="9">
        <v>0</v>
      </c>
      <c r="G48" s="9">
        <v>0</v>
      </c>
      <c r="H48" s="14" t="s">
        <v>3</v>
      </c>
      <c r="I48" s="1"/>
    </row>
    <row r="49" spans="1:9" x14ac:dyDescent="0.25">
      <c r="A49" s="1"/>
      <c r="B49" s="58" t="s">
        <v>268</v>
      </c>
      <c r="C49" s="59">
        <v>75</v>
      </c>
      <c r="D49" s="9">
        <v>953650.89</v>
      </c>
      <c r="E49" s="9">
        <f t="shared" si="1"/>
        <v>12715.3452</v>
      </c>
      <c r="F49" s="9">
        <v>0</v>
      </c>
      <c r="G49" s="9">
        <v>0</v>
      </c>
      <c r="H49" s="14" t="s">
        <v>3</v>
      </c>
      <c r="I49" s="1"/>
    </row>
    <row r="50" spans="1:9" x14ac:dyDescent="0.25">
      <c r="A50" s="1"/>
      <c r="B50" s="96" t="s">
        <v>255</v>
      </c>
      <c r="C50" s="97"/>
      <c r="D50" s="98"/>
      <c r="E50" s="12">
        <f>SUM(E10:E49)</f>
        <v>390841.50293333334</v>
      </c>
      <c r="F50" s="12">
        <f>SUM(F10:F49)</f>
        <v>0</v>
      </c>
      <c r="G50" s="12">
        <f>SUM(G10:G49)</f>
        <v>0</v>
      </c>
      <c r="H50" s="13" t="s">
        <v>3</v>
      </c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B59" s="1"/>
      <c r="C59" s="1"/>
      <c r="D59" s="1"/>
      <c r="E59" s="1"/>
      <c r="F59" s="1"/>
      <c r="G59" s="1"/>
      <c r="H59" s="1"/>
    </row>
    <row r="60" spans="1:9" x14ac:dyDescent="0.25">
      <c r="B60" s="1"/>
      <c r="C60" s="1"/>
      <c r="D60" s="1"/>
      <c r="E60" s="1"/>
      <c r="F60" s="1"/>
      <c r="G60" s="1"/>
      <c r="H60" s="1"/>
    </row>
    <row r="61" spans="1:9" x14ac:dyDescent="0.25">
      <c r="B61" s="1"/>
      <c r="C61" s="1"/>
      <c r="D61" s="1"/>
      <c r="E61" s="1"/>
      <c r="F61" s="1"/>
      <c r="G61" s="1"/>
      <c r="H61" s="1"/>
    </row>
    <row r="62" spans="1:9" x14ac:dyDescent="0.25">
      <c r="B62" s="1"/>
      <c r="C62" s="1"/>
      <c r="D62" s="1"/>
      <c r="E62" s="1"/>
      <c r="F62" s="1"/>
      <c r="G62" s="1"/>
      <c r="H62" s="1"/>
    </row>
    <row r="63" spans="1:9" x14ac:dyDescent="0.25">
      <c r="B63" s="1"/>
      <c r="C63" s="1"/>
      <c r="D63" s="1"/>
      <c r="E63" s="1"/>
      <c r="F63" s="1"/>
      <c r="G63" s="1"/>
      <c r="H63" s="1"/>
    </row>
    <row r="64" spans="1:9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</sheetData>
  <sheetProtection algorithmName="SHA-512" hashValue="FE8Ki7GLbzOVAJTZu+zK9T6BYud7VwttQU0DxfSIzcwddDyqHmNtNuXRdOi/Cb41d/tMk3Z5xhQ66llDwO5pcA==" saltValue="uZkiyvrQwCEfT8e4DbhJyQ==" spinCount="100000" sheet="1" objects="1" scenarios="1"/>
  <mergeCells count="3">
    <mergeCell ref="B3:H4"/>
    <mergeCell ref="B50:D50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225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273</v>
      </c>
      <c r="C10" s="24">
        <f>'Fane 9. Anlægsprojekter'!F50</f>
        <v>0</v>
      </c>
      <c r="D10" s="14" t="s">
        <v>3</v>
      </c>
      <c r="E10" s="9">
        <f>SUM('Fane 9. Anlægsprojekter'!E50,'Fane 9. Anlægsprojekter'!G50)</f>
        <v>390841.50293333334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390841.50293333334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398541.08054112003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PoARK5nLhLKCaS1x/IlgGZ+CEycCsbu+y+97UzjJy/DiRD0VD2GQZD7uP+5yV24HsID5zeQ3Lmn5P4xbbavzA==" saltValue="CQQqlJpxFWPX/Ec7neRIs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224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187</v>
      </c>
      <c r="C8" s="97"/>
      <c r="D8" s="97"/>
      <c r="E8" s="97"/>
      <c r="F8" s="98"/>
      <c r="G8" s="1"/>
    </row>
    <row r="9" spans="1:7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188</v>
      </c>
      <c r="C16" s="97"/>
      <c r="D16" s="97"/>
      <c r="E16" s="97"/>
      <c r="F16" s="98"/>
      <c r="G16" s="1"/>
    </row>
    <row r="17" spans="1:7" x14ac:dyDescent="0.25">
      <c r="A17" s="1"/>
      <c r="B17" s="52" t="s">
        <v>25</v>
      </c>
      <c r="C17" s="52" t="s">
        <v>16</v>
      </c>
      <c r="D17" s="53"/>
      <c r="E17" s="52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189</v>
      </c>
      <c r="C24" s="97"/>
      <c r="D24" s="97"/>
      <c r="E24" s="97"/>
      <c r="F24" s="98"/>
      <c r="G24" s="1"/>
    </row>
    <row r="25" spans="1:7" x14ac:dyDescent="0.25">
      <c r="A25" s="1"/>
      <c r="B25" s="52" t="s">
        <v>25</v>
      </c>
      <c r="C25" s="52" t="s">
        <v>16</v>
      </c>
      <c r="D25" s="53"/>
      <c r="E25" s="52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190</v>
      </c>
      <c r="C32" s="97"/>
      <c r="D32" s="97"/>
      <c r="E32" s="97"/>
      <c r="F32" s="98"/>
      <c r="G32" s="1"/>
    </row>
    <row r="33" spans="1:7" x14ac:dyDescent="0.25">
      <c r="A33" s="1"/>
      <c r="B33" s="52" t="s">
        <v>25</v>
      </c>
      <c r="C33" s="52" t="s">
        <v>16</v>
      </c>
      <c r="D33" s="53"/>
      <c r="E33" s="52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Eg7U4CdM/zZn+2XquJdVqC5zw/cm1zLnjzkyb4l5nDMyzX9FQ8hGpWOlKkxnFUW7+eVadye5QC36nG2gl1LCg==" saltValue="oHhAkmg0mfRv+ucXlqx41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160</v>
      </c>
      <c r="C8" s="97"/>
      <c r="D8" s="97"/>
      <c r="E8" s="97"/>
      <c r="F8" s="98"/>
      <c r="G8" s="1"/>
    </row>
    <row r="9" spans="1:7" x14ac:dyDescent="0.25">
      <c r="A9" s="1"/>
      <c r="B9" s="116" t="s">
        <v>159</v>
      </c>
      <c r="C9" s="117"/>
      <c r="D9" s="118"/>
      <c r="E9" s="9">
        <v>0</v>
      </c>
      <c r="F9" s="14" t="s">
        <v>3</v>
      </c>
      <c r="G9" s="1"/>
    </row>
    <row r="10" spans="1:7" x14ac:dyDescent="0.25">
      <c r="A10" s="1"/>
      <c r="B10" s="87" t="s">
        <v>10</v>
      </c>
      <c r="C10" s="88"/>
      <c r="D10" s="89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7" t="s">
        <v>39</v>
      </c>
      <c r="C11" s="88"/>
      <c r="D11" s="89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6" t="s">
        <v>164</v>
      </c>
      <c r="C12" s="97"/>
      <c r="D12" s="98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161</v>
      </c>
      <c r="C14" s="97"/>
      <c r="D14" s="97"/>
      <c r="E14" s="97"/>
      <c r="F14" s="98"/>
      <c r="G14" s="1"/>
    </row>
    <row r="15" spans="1:7" x14ac:dyDescent="0.25">
      <c r="A15" s="1"/>
      <c r="B15" s="116" t="s">
        <v>159</v>
      </c>
      <c r="C15" s="117"/>
      <c r="D15" s="118"/>
      <c r="E15" s="9">
        <v>0</v>
      </c>
      <c r="F15" s="14" t="s">
        <v>3</v>
      </c>
      <c r="G15" s="1"/>
    </row>
    <row r="16" spans="1:7" x14ac:dyDescent="0.25">
      <c r="A16" s="1"/>
      <c r="B16" s="87" t="s">
        <v>10</v>
      </c>
      <c r="C16" s="88"/>
      <c r="D16" s="89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7" t="s">
        <v>39</v>
      </c>
      <c r="C17" s="88"/>
      <c r="D17" s="89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6" t="s">
        <v>165</v>
      </c>
      <c r="C18" s="97"/>
      <c r="D18" s="98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162</v>
      </c>
      <c r="C20" s="97"/>
      <c r="D20" s="97"/>
      <c r="E20" s="97"/>
      <c r="F20" s="98"/>
      <c r="G20" s="1"/>
    </row>
    <row r="21" spans="1:7" x14ac:dyDescent="0.25">
      <c r="A21" s="1"/>
      <c r="B21" s="116" t="s">
        <v>159</v>
      </c>
      <c r="C21" s="117"/>
      <c r="D21" s="118"/>
      <c r="E21" s="9">
        <v>0</v>
      </c>
      <c r="F21" s="14" t="s">
        <v>3</v>
      </c>
      <c r="G21" s="1"/>
    </row>
    <row r="22" spans="1:7" x14ac:dyDescent="0.25">
      <c r="A22" s="1"/>
      <c r="B22" s="87" t="s">
        <v>10</v>
      </c>
      <c r="C22" s="88"/>
      <c r="D22" s="89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7" t="s">
        <v>39</v>
      </c>
      <c r="C23" s="88"/>
      <c r="D23" s="89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6" t="s">
        <v>166</v>
      </c>
      <c r="C24" s="97"/>
      <c r="D24" s="98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163</v>
      </c>
      <c r="C26" s="97"/>
      <c r="D26" s="97"/>
      <c r="E26" s="97"/>
      <c r="F26" s="98"/>
      <c r="G26" s="1"/>
    </row>
    <row r="27" spans="1:7" x14ac:dyDescent="0.25">
      <c r="A27" s="1"/>
      <c r="B27" s="116" t="s">
        <v>159</v>
      </c>
      <c r="C27" s="117"/>
      <c r="D27" s="118"/>
      <c r="E27" s="9">
        <v>0</v>
      </c>
      <c r="F27" s="14" t="s">
        <v>3</v>
      </c>
      <c r="G27" s="1"/>
    </row>
    <row r="28" spans="1:7" x14ac:dyDescent="0.25">
      <c r="A28" s="1"/>
      <c r="B28" s="87" t="s">
        <v>10</v>
      </c>
      <c r="C28" s="88"/>
      <c r="D28" s="89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7" t="s">
        <v>39</v>
      </c>
      <c r="C29" s="88"/>
      <c r="D29" s="89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6" t="s">
        <v>167</v>
      </c>
      <c r="C30" s="97"/>
      <c r="D30" s="98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w25Zoe5ZgAdaR/km84uws5Od/DXmMLKg6dsnx5JfXTG0A8h18sdpsYCtfOqZ61EvqcmrhXaP/yvN4S0FEMPuw==" saltValue="w2Nh93Q80J2n/oHpmWfem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223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32</v>
      </c>
      <c r="C8" s="97"/>
      <c r="D8" s="97"/>
      <c r="E8" s="97"/>
      <c r="F8" s="98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VskRt6URkRyEvAxBbMXtLwM8MRur6UDvta6tUHKpWTKtQ8x+2xNEh0j6Qt7qoZh0BiSoCwNqY+7Swrr9x82ug==" saltValue="q43reB66xEPeWVuBPUZij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222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169</v>
      </c>
      <c r="C8" s="97"/>
      <c r="D8" s="97"/>
      <c r="E8" s="97"/>
      <c r="F8" s="98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170</v>
      </c>
      <c r="C14" s="97"/>
      <c r="D14" s="97"/>
      <c r="E14" s="97"/>
      <c r="F14" s="98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168</v>
      </c>
      <c r="C20" s="97"/>
      <c r="D20" s="97"/>
      <c r="E20" s="97"/>
      <c r="F20" s="98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171</v>
      </c>
      <c r="C26" s="97"/>
      <c r="D26" s="97"/>
      <c r="E26" s="97"/>
      <c r="F26" s="98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/aiMquU7kaE1dIxfNiVHX8MN8z+RpdH8/EmOb8HExFGRwhu0j1SAZiV0MsKeI/yATQxBCL4bnv/w+UKpvquKQ==" saltValue="CZFxbTlopMDR4siDpYQOM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221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18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-29062136</v>
      </c>
      <c r="H9" s="14" t="s">
        <v>3</v>
      </c>
      <c r="I9" s="1"/>
    </row>
    <row r="10" spans="1:9" x14ac:dyDescent="0.25">
      <c r="A10" s="1"/>
      <c r="B10" s="102" t="s">
        <v>137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77</v>
      </c>
      <c r="C11" s="103"/>
      <c r="D11" s="103"/>
      <c r="E11" s="103"/>
      <c r="F11" s="104"/>
      <c r="G11" s="9">
        <v>26125041.865079366</v>
      </c>
      <c r="H11" s="14" t="s">
        <v>3</v>
      </c>
      <c r="I11" s="1"/>
    </row>
    <row r="12" spans="1:9" x14ac:dyDescent="0.25">
      <c r="A12" s="1"/>
      <c r="B12" s="119" t="s">
        <v>15</v>
      </c>
      <c r="C12" s="120"/>
      <c r="D12" s="120"/>
      <c r="E12" s="120"/>
      <c r="F12" s="121"/>
      <c r="G12" s="19">
        <f>(G9+G10)+G11</f>
        <v>-2937094.1349206343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1</v>
      </c>
      <c r="H13" s="14" t="s">
        <v>28</v>
      </c>
      <c r="I13" s="1"/>
    </row>
    <row r="14" spans="1:9" x14ac:dyDescent="0.25">
      <c r="A14" s="1"/>
      <c r="B14" s="96" t="s">
        <v>138</v>
      </c>
      <c r="C14" s="97"/>
      <c r="D14" s="97"/>
      <c r="E14" s="97"/>
      <c r="F14" s="98"/>
      <c r="G14" s="12">
        <f>IF(G13 = 0,0,-G12/G13)</f>
        <v>2937094.1349206343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o7Zzq/JpjScJa9llkhwWExzDtpBpRUjgVFycAgyxRZj9XQN4fyR5Jlpu/MHh+6CBgs60ITIjRdLYpfKxvUpXQ==" saltValue="+HzGPbvqzFnN4NNauWmZT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62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62760786.861602053</v>
      </c>
      <c r="D9" s="8" t="s">
        <v>3</v>
      </c>
      <c r="E9" s="1"/>
    </row>
    <row r="10" spans="1:5" ht="17.100000000000001" customHeight="1" x14ac:dyDescent="0.25">
      <c r="A10" s="1"/>
      <c r="B10" s="55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5" t="s">
        <v>65</v>
      </c>
      <c r="C11" s="9">
        <f>'Fane 10.1. Varige tillæg'!E12</f>
        <v>398541.08054112003</v>
      </c>
      <c r="D11" s="8" t="s">
        <v>3</v>
      </c>
      <c r="E11" s="1"/>
    </row>
    <row r="12" spans="1:5" ht="17.100000000000001" customHeight="1" x14ac:dyDescent="0.25">
      <c r="A12" s="1"/>
      <c r="B12" s="55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5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5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5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5" t="s">
        <v>27</v>
      </c>
      <c r="C16" s="9">
        <f>SUM(C9:C15)*'Fane 15. Nøgletal'!C12</f>
        <v>1244238.7604602205</v>
      </c>
      <c r="D16" s="8" t="s">
        <v>3</v>
      </c>
      <c r="E16" s="1"/>
    </row>
    <row r="17" spans="1:5" ht="17.100000000000001" customHeight="1" x14ac:dyDescent="0.25">
      <c r="A17" s="1"/>
      <c r="B17" s="55" t="s">
        <v>10</v>
      </c>
      <c r="C17" s="9">
        <f>-SUM(C9:C16)*'Fane 5. Individuelt eff. krav'!G11</f>
        <v>-434607.32430023589</v>
      </c>
      <c r="D17" s="8" t="s">
        <v>3</v>
      </c>
      <c r="E17" s="1"/>
    </row>
    <row r="18" spans="1:5" ht="17.100000000000001" customHeight="1" x14ac:dyDescent="0.25">
      <c r="A18" s="1"/>
      <c r="B18" s="55" t="s">
        <v>39</v>
      </c>
      <c r="C18" s="9">
        <f>-'Fane 4.1. Gen. krav - drift'!G28</f>
        <v>-301498.16552461538</v>
      </c>
      <c r="D18" s="8" t="s">
        <v>3</v>
      </c>
      <c r="E18" s="1"/>
    </row>
    <row r="19" spans="1:5" ht="17.100000000000001" customHeight="1" x14ac:dyDescent="0.25">
      <c r="A19" s="1"/>
      <c r="B19" s="55" t="s">
        <v>40</v>
      </c>
      <c r="C19" s="9">
        <f>-'Fane 4.2. Gen. krav - anlæg'!G25</f>
        <v>-1407031.1564152944</v>
      </c>
      <c r="D19" s="8" t="s">
        <v>3</v>
      </c>
      <c r="E19" s="1"/>
    </row>
    <row r="20" spans="1:5" ht="17.100000000000001" customHeight="1" x14ac:dyDescent="0.25">
      <c r="A20" s="1"/>
      <c r="B20" s="49" t="s">
        <v>29</v>
      </c>
      <c r="C20" s="10">
        <f>SUM(C9:C19)</f>
        <v>62260430.056363247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22498648.749695253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9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5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5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2937094.1349206343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87696172.940979138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5W9Y8GfTx00f8i8DNEKL4ztQFTIp2LAhaupWUV/yKb2IedqI/NSU8KRXLE+DNPYcNdG9l/m3A8udeKiPCMZY3w==" saltValue="j2hfSnxI6SmX9li4EwkOi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248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6" t="s">
        <v>228</v>
      </c>
      <c r="C9" s="28">
        <v>1.2699999999999999E-2</v>
      </c>
      <c r="D9" s="1"/>
    </row>
    <row r="10" spans="1:4" x14ac:dyDescent="0.25">
      <c r="A10" s="1"/>
      <c r="B10" s="56" t="s">
        <v>229</v>
      </c>
      <c r="C10" s="28">
        <v>1.7500000000000002E-2</v>
      </c>
      <c r="D10" s="1"/>
    </row>
    <row r="11" spans="1:4" x14ac:dyDescent="0.25">
      <c r="A11" s="1"/>
      <c r="B11" s="56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6" t="s">
        <v>231</v>
      </c>
      <c r="C17" s="25">
        <v>9.1000000000000004E-3</v>
      </c>
      <c r="D17" s="1"/>
    </row>
    <row r="18" spans="1:4" x14ac:dyDescent="0.25">
      <c r="A18" s="1"/>
      <c r="B18" s="56" t="s">
        <v>232</v>
      </c>
      <c r="C18" s="25">
        <v>1.77E-2</v>
      </c>
      <c r="D18" s="1"/>
    </row>
    <row r="19" spans="1:4" x14ac:dyDescent="0.25">
      <c r="A19" s="1"/>
      <c r="B19" s="56" t="s">
        <v>233</v>
      </c>
      <c r="C19" s="25">
        <v>8.6999999999999994E-3</v>
      </c>
      <c r="D19" s="1"/>
    </row>
    <row r="20" spans="1:4" x14ac:dyDescent="0.25">
      <c r="A20" s="1"/>
      <c r="B20" s="56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6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N/CrqTfvMbNV6P1BhNRR2xmqLryCDIuooQ5OD56Z5iki9h1GWs2rIC58u3B64B4OxnV44WvLyuzja51obzZ9bA==" saltValue="2xMw3sSa+e0lnvhmP1HIN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82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62260430.056363247</v>
      </c>
      <c r="D9" s="8" t="s">
        <v>3</v>
      </c>
      <c r="E9" s="1"/>
    </row>
    <row r="10" spans="1:5" ht="15" customHeight="1" x14ac:dyDescent="0.25">
      <c r="A10" s="1"/>
      <c r="B10" s="55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5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1226530.472110356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-428421.89425076131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-301288.92579774134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-1394002.7795630903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61363246.928862013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22941872.130064249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5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5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84305119.058926255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N4hsbB1/7qrKuR0yeSEw7kluLwzTvo6b2mqB9U4gbzM4qYOyHh7EynVYGMbcPDFx5TyWpdsQrUHUYUpG2q57w==" saltValue="uyX5skmaptIcSqlsUAhwA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246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30</v>
      </c>
      <c r="C5" s="82"/>
      <c r="D5" s="82"/>
      <c r="E5" s="1"/>
    </row>
    <row r="6" spans="1:5" x14ac:dyDescent="0.25">
      <c r="A6" s="1"/>
      <c r="B6" s="48"/>
      <c r="C6" s="48"/>
      <c r="D6" s="48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61363246.928862013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1208855.9644985816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-422248.26366989419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-301079.83128323773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-1381095.0387057816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60467679.759701684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23393827.011026517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5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5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83861506.770728201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N+HAz2ObYBGyoKCHqFw90xDnTI4MI7MOBxugpWvFLO6aGLUIBW057BH8j8aTWQDQG+/zjEUWtnhQRKboFo59g==" saltValue="GPJc0whFe9UPlUN+BuxF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247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30</v>
      </c>
      <c r="C5" s="82"/>
      <c r="D5" s="82"/>
      <c r="E5" s="1"/>
    </row>
    <row r="6" spans="1:5" x14ac:dyDescent="0.25">
      <c r="A6" s="1"/>
      <c r="B6" s="48"/>
      <c r="C6" s="48"/>
      <c r="D6" s="48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60467679.759701684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1191213.2912661231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-416085.75270276598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-300870.88188032719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-1368306.8168167861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59573629.599567927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23854685.403143737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5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5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83428315.002711669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USTkCPgIeisTl7D+2R7bogW7xtnrgMVy3GB8fBwPjjGuO0E7/mm92RdHnFo2wlnHs8TbIZDxjB/EmnuLQmRYQ==" saltValue="2HyE+pb7qrRkVBLnRPRt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243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3" t="s">
        <v>79</v>
      </c>
      <c r="C9" s="84"/>
      <c r="D9" s="85"/>
      <c r="E9" s="7">
        <v>61815398.714518219</v>
      </c>
      <c r="F9" s="8" t="s">
        <v>3</v>
      </c>
      <c r="G9" s="1"/>
    </row>
    <row r="10" spans="1:7" ht="15" customHeight="1" x14ac:dyDescent="0.25">
      <c r="A10" s="1"/>
      <c r="B10" s="87" t="s">
        <v>64</v>
      </c>
      <c r="C10" s="88"/>
      <c r="D10" s="89"/>
      <c r="E10" s="7">
        <v>735929.51309999998</v>
      </c>
      <c r="F10" s="8" t="s">
        <v>3</v>
      </c>
      <c r="G10" s="1"/>
    </row>
    <row r="11" spans="1:7" ht="15" customHeight="1" x14ac:dyDescent="0.25">
      <c r="A11" s="1"/>
      <c r="B11" s="87" t="s">
        <v>65</v>
      </c>
      <c r="C11" s="88"/>
      <c r="D11" s="89"/>
      <c r="E11" s="9">
        <v>277962.49669999996</v>
      </c>
      <c r="F11" s="8" t="s">
        <v>3</v>
      </c>
      <c r="G11" s="1"/>
    </row>
    <row r="12" spans="1:7" ht="15" customHeight="1" x14ac:dyDescent="0.25">
      <c r="A12" s="1"/>
      <c r="B12" s="87" t="s">
        <v>42</v>
      </c>
      <c r="C12" s="88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83" t="s">
        <v>41</v>
      </c>
      <c r="C13" s="84"/>
      <c r="D13" s="85"/>
      <c r="E13" s="9">
        <v>0</v>
      </c>
      <c r="F13" s="8" t="s">
        <v>3</v>
      </c>
      <c r="G13" s="1"/>
    </row>
    <row r="14" spans="1:7" ht="15" customHeight="1" x14ac:dyDescent="0.25">
      <c r="A14" s="1"/>
      <c r="B14" s="83" t="s">
        <v>44</v>
      </c>
      <c r="C14" s="84"/>
      <c r="D14" s="85"/>
      <c r="E14" s="9">
        <v>0</v>
      </c>
      <c r="F14" s="8" t="s">
        <v>3</v>
      </c>
      <c r="G14" s="1"/>
    </row>
    <row r="15" spans="1:7" ht="15" customHeight="1" x14ac:dyDescent="0.25">
      <c r="A15" s="1"/>
      <c r="B15" s="83" t="s">
        <v>43</v>
      </c>
      <c r="C15" s="84"/>
      <c r="D15" s="85"/>
      <c r="E15" s="9">
        <v>0</v>
      </c>
      <c r="F15" s="8" t="s">
        <v>3</v>
      </c>
      <c r="G15" s="1"/>
    </row>
    <row r="16" spans="1:7" ht="15" customHeight="1" x14ac:dyDescent="0.25">
      <c r="A16" s="1"/>
      <c r="B16" s="83" t="s">
        <v>27</v>
      </c>
      <c r="C16" s="84"/>
      <c r="D16" s="85"/>
      <c r="E16" s="9">
        <f>E9*'Fane 15. Nøgletal'!C10+SUM(E10:E15)*'Fane 15. Nøgletal'!C11</f>
        <v>1098904.2524696889</v>
      </c>
      <c r="F16" s="8" t="s">
        <v>3</v>
      </c>
      <c r="G16" s="1"/>
    </row>
    <row r="17" spans="1:7" ht="15" customHeight="1" x14ac:dyDescent="0.25">
      <c r="A17" s="1"/>
      <c r="B17" s="83" t="s">
        <v>10</v>
      </c>
      <c r="C17" s="84"/>
      <c r="D17" s="85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3" t="s">
        <v>39</v>
      </c>
      <c r="C18" s="84"/>
      <c r="D18" s="85"/>
      <c r="E18" s="9">
        <f>-'Fane 4.1. Gen. krav - drift'!G22</f>
        <v>-301707.55056470732</v>
      </c>
      <c r="F18" s="8" t="s">
        <v>3</v>
      </c>
      <c r="G18" s="1"/>
    </row>
    <row r="19" spans="1:7" ht="15" customHeight="1" x14ac:dyDescent="0.25">
      <c r="A19" s="1"/>
      <c r="B19" s="83" t="s">
        <v>40</v>
      </c>
      <c r="C19" s="84"/>
      <c r="D19" s="85"/>
      <c r="E19" s="9">
        <f>-'Fane 4.2. Gen. krav - anlæg'!G19</f>
        <v>-865700.56462114316</v>
      </c>
      <c r="F19" s="8" t="s">
        <v>3</v>
      </c>
      <c r="G19" s="1"/>
    </row>
    <row r="20" spans="1:7" ht="15" customHeight="1" x14ac:dyDescent="0.25">
      <c r="A20" s="1"/>
      <c r="B20" s="49" t="s">
        <v>29</v>
      </c>
      <c r="C20" s="50"/>
      <c r="D20" s="51"/>
      <c r="E20" s="10">
        <f>SUM(E9:E19)</f>
        <v>62760786.861602053</v>
      </c>
      <c r="F20" s="11" t="s">
        <v>3</v>
      </c>
      <c r="G20" s="1"/>
    </row>
    <row r="21" spans="1:7" ht="15" customHeight="1" x14ac:dyDescent="0.25">
      <c r="A21" s="1"/>
      <c r="B21" s="96" t="s">
        <v>145</v>
      </c>
      <c r="C21" s="97"/>
      <c r="D21" s="97"/>
      <c r="E21" s="97"/>
      <c r="F21" s="98"/>
      <c r="G21" s="1"/>
    </row>
    <row r="22" spans="1:7" ht="15" customHeight="1" x14ac:dyDescent="0.25">
      <c r="A22" s="1"/>
      <c r="B22" s="83" t="s">
        <v>239</v>
      </c>
      <c r="C22" s="84"/>
      <c r="D22" s="85"/>
      <c r="E22" s="44">
        <v>0</v>
      </c>
      <c r="F22" s="8" t="s">
        <v>3</v>
      </c>
      <c r="G22" s="1"/>
    </row>
    <row r="23" spans="1:7" ht="15" customHeight="1" x14ac:dyDescent="0.25">
      <c r="A23" s="1"/>
      <c r="B23" s="83" t="s">
        <v>238</v>
      </c>
      <c r="C23" s="84"/>
      <c r="D23" s="85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90" t="s">
        <v>240</v>
      </c>
      <c r="C24" s="91"/>
      <c r="D24" s="92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90" t="s">
        <v>17</v>
      </c>
      <c r="C26" s="91"/>
      <c r="D26" s="92"/>
      <c r="E26" s="10">
        <v>21317008.899017155</v>
      </c>
      <c r="F26" s="11" t="s">
        <v>3</v>
      </c>
      <c r="G26" s="1"/>
    </row>
    <row r="27" spans="1:7" ht="15" customHeight="1" x14ac:dyDescent="0.25">
      <c r="A27" s="1"/>
      <c r="B27" s="96" t="s">
        <v>144</v>
      </c>
      <c r="C27" s="97"/>
      <c r="D27" s="97"/>
      <c r="E27" s="96"/>
      <c r="F27" s="97"/>
      <c r="G27" s="1"/>
    </row>
    <row r="28" spans="1:7" ht="15" customHeight="1" x14ac:dyDescent="0.25">
      <c r="A28" s="1"/>
      <c r="B28" s="99" t="s">
        <v>140</v>
      </c>
      <c r="C28" s="100"/>
      <c r="D28" s="101"/>
      <c r="E28" s="46">
        <f>7458*1.0169^2</f>
        <v>7712.2104793799981</v>
      </c>
      <c r="F28" s="47" t="s">
        <v>3</v>
      </c>
      <c r="G28" s="1"/>
    </row>
    <row r="29" spans="1:7" ht="15" customHeight="1" x14ac:dyDescent="0.25">
      <c r="A29" s="1"/>
      <c r="B29" s="99" t="s">
        <v>141</v>
      </c>
      <c r="C29" s="100"/>
      <c r="D29" s="101"/>
      <c r="E29" s="46">
        <v>0</v>
      </c>
      <c r="F29" s="47" t="s">
        <v>3</v>
      </c>
      <c r="G29" s="1"/>
    </row>
    <row r="30" spans="1:7" ht="15" customHeight="1" x14ac:dyDescent="0.25">
      <c r="A30" s="1"/>
      <c r="B30" s="99" t="s">
        <v>274</v>
      </c>
      <c r="C30" s="100"/>
      <c r="D30" s="101"/>
      <c r="E30" s="46">
        <f>-(E28*'Fane 15. Nøgletal'!C25+E28*'Fane 5. Individuelt eff. krav'!G10)</f>
        <v>-154.24420958759995</v>
      </c>
      <c r="F30" s="47" t="s">
        <v>3</v>
      </c>
      <c r="G30" s="1"/>
    </row>
    <row r="31" spans="1:7" ht="15" customHeight="1" x14ac:dyDescent="0.25">
      <c r="A31" s="1"/>
      <c r="B31" s="90" t="s">
        <v>147</v>
      </c>
      <c r="C31" s="91"/>
      <c r="D31" s="92"/>
      <c r="E31" s="45">
        <f>SUM(E28:E30)</f>
        <v>7557.9662697923977</v>
      </c>
      <c r="F31" s="11" t="s">
        <v>3</v>
      </c>
      <c r="G31" s="1"/>
    </row>
    <row r="32" spans="1:7" x14ac:dyDescent="0.25">
      <c r="A32" s="1"/>
      <c r="B32" s="40" t="s">
        <v>80</v>
      </c>
      <c r="C32" s="34"/>
      <c r="D32" s="34"/>
      <c r="E32" s="34"/>
      <c r="F32" s="22"/>
      <c r="G32" s="1"/>
    </row>
    <row r="33" spans="1:7" ht="27" customHeight="1" x14ac:dyDescent="0.25">
      <c r="A33" s="1"/>
      <c r="B33" s="93" t="s">
        <v>134</v>
      </c>
      <c r="C33" s="94"/>
      <c r="D33" s="95"/>
      <c r="E33" s="10">
        <v>104769.44508175136</v>
      </c>
      <c r="F33" s="11" t="s">
        <v>3</v>
      </c>
      <c r="G33" s="1"/>
    </row>
    <row r="34" spans="1:7" x14ac:dyDescent="0.25">
      <c r="A34" s="1"/>
      <c r="B34" s="40" t="s">
        <v>11</v>
      </c>
      <c r="C34" s="34"/>
      <c r="D34" s="34"/>
      <c r="E34" s="34"/>
      <c r="F34" s="22"/>
      <c r="G34" s="1"/>
    </row>
    <row r="35" spans="1:7" ht="15" customHeight="1" x14ac:dyDescent="0.25">
      <c r="A35" s="1"/>
      <c r="B35" s="93" t="s">
        <v>19</v>
      </c>
      <c r="C35" s="94"/>
      <c r="D35" s="95"/>
      <c r="E35" s="10">
        <v>2937095</v>
      </c>
      <c r="F35" s="11" t="s">
        <v>3</v>
      </c>
      <c r="G35" s="1"/>
    </row>
    <row r="36" spans="1:7" x14ac:dyDescent="0.25">
      <c r="A36" s="1"/>
      <c r="B36" s="96" t="s">
        <v>24</v>
      </c>
      <c r="C36" s="97"/>
      <c r="D36" s="98"/>
      <c r="E36" s="12">
        <f>SUM(E35,E33,E31,E26,E20,E24)</f>
        <v>87127218.171970755</v>
      </c>
      <c r="F36" s="13" t="s">
        <v>3</v>
      </c>
      <c r="G36" s="1"/>
    </row>
    <row r="37" spans="1:7" ht="27" customHeight="1" x14ac:dyDescent="0.25">
      <c r="A37" s="1"/>
      <c r="B37" s="83" t="s">
        <v>208</v>
      </c>
      <c r="C37" s="84"/>
      <c r="D37" s="84"/>
      <c r="E37" s="84"/>
      <c r="F37" s="85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N/ZXsAEk94XZfUWMEdeO5S+mkGutCLrl+r6ZP72+lUUqbTTjt6f6XF1HVL64vwQrUODiaKZE0rTU/epjDj+XSg==" saltValue="qDphXHdagu7ATc6epVDdow==" spinCount="100000" sheet="1" objects="1" scenarios="1"/>
  <mergeCells count="27">
    <mergeCell ref="B22:D22"/>
    <mergeCell ref="B23:D23"/>
    <mergeCell ref="B21:F21"/>
    <mergeCell ref="B24:D24"/>
    <mergeCell ref="B35:D35"/>
    <mergeCell ref="B27:D27"/>
    <mergeCell ref="E27:F27"/>
    <mergeCell ref="B28:D28"/>
    <mergeCell ref="B29:D29"/>
    <mergeCell ref="B30:D30"/>
    <mergeCell ref="B31:D31"/>
    <mergeCell ref="B37:F37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3:D33"/>
    <mergeCell ref="B36:D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81" t="s">
        <v>218</v>
      </c>
      <c r="C2" s="81"/>
      <c r="D2" s="81"/>
      <c r="E2" s="81"/>
      <c r="F2" s="81"/>
      <c r="G2" s="81"/>
      <c r="H2" s="81"/>
      <c r="I2" s="1"/>
    </row>
    <row r="3" spans="1:9" ht="15" customHeight="1" x14ac:dyDescent="0.25">
      <c r="A3" s="1"/>
      <c r="B3" s="81"/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96" t="s">
        <v>94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102" t="s">
        <v>83</v>
      </c>
      <c r="C6" s="103"/>
      <c r="D6" s="103"/>
      <c r="E6" s="103"/>
      <c r="F6" s="104"/>
      <c r="G6" s="26">
        <v>14419082.457373746</v>
      </c>
      <c r="H6" s="14" t="s">
        <v>3</v>
      </c>
      <c r="I6" s="1"/>
    </row>
    <row r="7" spans="1:9" x14ac:dyDescent="0.25">
      <c r="A7" s="1"/>
      <c r="B7" s="83" t="s">
        <v>242</v>
      </c>
      <c r="C7" s="84"/>
      <c r="D7" s="84"/>
      <c r="E7" s="84"/>
      <c r="F7" s="85"/>
      <c r="G7" s="26">
        <v>0</v>
      </c>
      <c r="H7" s="14" t="s">
        <v>3</v>
      </c>
      <c r="I7" s="1"/>
    </row>
    <row r="8" spans="1:9" x14ac:dyDescent="0.25">
      <c r="A8" s="1"/>
      <c r="B8" s="102" t="s">
        <v>84</v>
      </c>
      <c r="C8" s="103"/>
      <c r="D8" s="103"/>
      <c r="E8" s="103"/>
      <c r="F8" s="104"/>
      <c r="G8" s="26">
        <f>SUM(G6:G7)*'Fane 15. Nøgletal'!C25</f>
        <v>288381.64914747491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6" t="s">
        <v>95</v>
      </c>
      <c r="C11" s="97"/>
      <c r="D11" s="97"/>
      <c r="E11" s="97"/>
      <c r="F11" s="97"/>
      <c r="G11" s="97"/>
      <c r="H11" s="98"/>
      <c r="I11" s="1"/>
    </row>
    <row r="12" spans="1:9" x14ac:dyDescent="0.25">
      <c r="A12" s="1"/>
      <c r="B12" s="102" t="s">
        <v>85</v>
      </c>
      <c r="C12" s="103"/>
      <c r="D12" s="103"/>
      <c r="E12" s="103"/>
      <c r="F12" s="104"/>
      <c r="G12" s="26">
        <f>(G6-G8)*(1+'Fane 15. Nøgletal'!C10)</f>
        <v>14377988.072370231</v>
      </c>
      <c r="H12" s="14" t="s">
        <v>3</v>
      </c>
      <c r="I12" s="1"/>
    </row>
    <row r="13" spans="1:9" x14ac:dyDescent="0.25">
      <c r="A13" s="1"/>
      <c r="B13" s="102" t="s">
        <v>244</v>
      </c>
      <c r="C13" s="103"/>
      <c r="D13" s="103"/>
      <c r="E13" s="103"/>
      <c r="F13" s="104"/>
      <c r="G13" s="26">
        <v>0</v>
      </c>
      <c r="H13" s="14" t="s">
        <v>3</v>
      </c>
      <c r="I13" s="1"/>
    </row>
    <row r="14" spans="1:9" ht="15" customHeight="1" x14ac:dyDescent="0.25">
      <c r="A14" s="1"/>
      <c r="B14" s="83" t="s">
        <v>237</v>
      </c>
      <c r="C14" s="84"/>
      <c r="D14" s="84"/>
      <c r="E14" s="84"/>
      <c r="F14" s="85"/>
      <c r="G14" s="26">
        <v>0</v>
      </c>
      <c r="H14" s="14" t="s">
        <v>3</v>
      </c>
      <c r="I14" s="1"/>
    </row>
    <row r="15" spans="1:9" x14ac:dyDescent="0.25">
      <c r="A15" s="1"/>
      <c r="B15" s="105" t="s">
        <v>86</v>
      </c>
      <c r="C15" s="106"/>
      <c r="D15" s="106"/>
      <c r="E15" s="106"/>
      <c r="F15" s="107"/>
      <c r="G15" s="26">
        <v>0</v>
      </c>
      <c r="H15" s="14" t="s">
        <v>3</v>
      </c>
      <c r="I15" s="1"/>
    </row>
    <row r="16" spans="1:9" x14ac:dyDescent="0.25">
      <c r="A16" s="1"/>
      <c r="B16" s="102" t="s">
        <v>87</v>
      </c>
      <c r="C16" s="103"/>
      <c r="D16" s="103"/>
      <c r="E16" s="103"/>
      <c r="F16" s="104"/>
      <c r="G16" s="26">
        <f>SUM(G12:G15)*'Fane 15. Nøgletal'!C25</f>
        <v>287559.76144740463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6" t="s">
        <v>96</v>
      </c>
      <c r="C19" s="97"/>
      <c r="D19" s="97"/>
      <c r="E19" s="97"/>
      <c r="F19" s="97"/>
      <c r="G19" s="97"/>
      <c r="H19" s="98"/>
      <c r="I19" s="1"/>
    </row>
    <row r="20" spans="1:9" x14ac:dyDescent="0.25">
      <c r="A20" s="1"/>
      <c r="B20" s="102" t="s">
        <v>88</v>
      </c>
      <c r="C20" s="103"/>
      <c r="D20" s="103"/>
      <c r="E20" s="103"/>
      <c r="F20" s="104"/>
      <c r="G20" s="26">
        <f>(SUM(G12:G13,G15)-(G16))*(1+'Fane 15. Nøgletal'!C10)</f>
        <v>14337010.806363976</v>
      </c>
      <c r="H20" s="14" t="s">
        <v>3</v>
      </c>
      <c r="I20" s="1"/>
    </row>
    <row r="21" spans="1:9" x14ac:dyDescent="0.25">
      <c r="A21" s="1"/>
      <c r="B21" s="105" t="s">
        <v>89</v>
      </c>
      <c r="C21" s="106"/>
      <c r="D21" s="106"/>
      <c r="E21" s="106"/>
      <c r="F21" s="107"/>
      <c r="G21" s="26">
        <f>756078.93235077-7458*1.0169^2</f>
        <v>748366.72187139001</v>
      </c>
      <c r="H21" s="14" t="s">
        <v>3</v>
      </c>
      <c r="I21" s="1"/>
    </row>
    <row r="22" spans="1:9" x14ac:dyDescent="0.25">
      <c r="A22" s="1"/>
      <c r="B22" s="102" t="s">
        <v>90</v>
      </c>
      <c r="C22" s="103"/>
      <c r="D22" s="103"/>
      <c r="E22" s="103"/>
      <c r="F22" s="104"/>
      <c r="G22" s="26">
        <f>SUM(G20:G21)*'Fane 15. Nøgletal'!C25</f>
        <v>301707.55056470732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6" t="s">
        <v>97</v>
      </c>
      <c r="C25" s="97"/>
      <c r="D25" s="97"/>
      <c r="E25" s="97"/>
      <c r="F25" s="97"/>
      <c r="G25" s="97"/>
      <c r="H25" s="98"/>
      <c r="I25" s="1"/>
    </row>
    <row r="26" spans="1:9" x14ac:dyDescent="0.25">
      <c r="A26" s="1"/>
      <c r="B26" s="102" t="s">
        <v>91</v>
      </c>
      <c r="C26" s="103"/>
      <c r="D26" s="103"/>
      <c r="E26" s="103"/>
      <c r="F26" s="104"/>
      <c r="G26" s="26">
        <f>(G20+G21-G22)*(1+'Fane 15. Nøgletal'!C12)</f>
        <v>15074908.276230769</v>
      </c>
      <c r="H26" s="14" t="s">
        <v>3</v>
      </c>
      <c r="I26" s="1"/>
    </row>
    <row r="27" spans="1:9" x14ac:dyDescent="0.25">
      <c r="A27" s="1"/>
      <c r="B27" s="105" t="s">
        <v>92</v>
      </c>
      <c r="C27" s="106"/>
      <c r="D27" s="106"/>
      <c r="E27" s="106"/>
      <c r="F27" s="107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(G26+G27)*'Fane 15. Nøgletal'!C25</f>
        <v>301498.16552461538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100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(G26+G27-G28)*(1+'Fane 15. Nøgletal'!C12)</f>
        <v>15064446.289887067</v>
      </c>
      <c r="H32" s="14" t="s">
        <v>3</v>
      </c>
      <c r="I32" s="1"/>
    </row>
    <row r="33" spans="1:9" x14ac:dyDescent="0.25">
      <c r="A33" s="1"/>
      <c r="B33" s="102" t="s">
        <v>149</v>
      </c>
      <c r="C33" s="103"/>
      <c r="D33" s="103"/>
      <c r="E33" s="103"/>
      <c r="F33" s="104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102</v>
      </c>
      <c r="C34" s="103"/>
      <c r="D34" s="103"/>
      <c r="E34" s="103"/>
      <c r="F34" s="104"/>
      <c r="G34" s="26">
        <f>(G32+G33)*'Fane 15. Nøgletal'!C25</f>
        <v>301288.92579774134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6" t="s">
        <v>127</v>
      </c>
      <c r="C37" s="97"/>
      <c r="D37" s="97"/>
      <c r="E37" s="97"/>
      <c r="F37" s="97"/>
      <c r="G37" s="97"/>
      <c r="H37" s="98"/>
      <c r="I37" s="1"/>
    </row>
    <row r="38" spans="1:9" x14ac:dyDescent="0.25">
      <c r="A38" s="1"/>
      <c r="B38" s="102" t="s">
        <v>126</v>
      </c>
      <c r="C38" s="103"/>
      <c r="D38" s="103"/>
      <c r="E38" s="103"/>
      <c r="F38" s="104"/>
      <c r="G38" s="26">
        <f>(G32-G34)*(1+'Fane 15. Nøgletal'!C12)</f>
        <v>15053991.564161886</v>
      </c>
      <c r="H38" s="14" t="s">
        <v>3</v>
      </c>
      <c r="I38" s="1"/>
    </row>
    <row r="39" spans="1:9" x14ac:dyDescent="0.25">
      <c r="A39" s="1"/>
      <c r="B39" s="102" t="s">
        <v>150</v>
      </c>
      <c r="C39" s="103"/>
      <c r="D39" s="103"/>
      <c r="E39" s="103"/>
      <c r="F39" s="104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103</v>
      </c>
      <c r="C40" s="103"/>
      <c r="D40" s="103"/>
      <c r="E40" s="103"/>
      <c r="F40" s="104"/>
      <c r="G40" s="26">
        <f>(G38+G39)*'Fane 15. Nøgletal'!C25</f>
        <v>301079.83128323773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6" t="s">
        <v>128</v>
      </c>
      <c r="C43" s="97"/>
      <c r="D43" s="97"/>
      <c r="E43" s="97"/>
      <c r="F43" s="97"/>
      <c r="G43" s="97"/>
      <c r="H43" s="98"/>
      <c r="I43" s="1"/>
    </row>
    <row r="44" spans="1:9" x14ac:dyDescent="0.25">
      <c r="A44" s="1"/>
      <c r="B44" s="102" t="s">
        <v>125</v>
      </c>
      <c r="C44" s="103"/>
      <c r="D44" s="103"/>
      <c r="E44" s="103"/>
      <c r="F44" s="104"/>
      <c r="G44" s="26">
        <f>(G38-G40)*(1+'Fane 15. Nøgletal'!C12)</f>
        <v>15043544.094016358</v>
      </c>
      <c r="H44" s="14" t="s">
        <v>3</v>
      </c>
      <c r="I44" s="1"/>
    </row>
    <row r="45" spans="1:9" x14ac:dyDescent="0.25">
      <c r="A45" s="1"/>
      <c r="B45" s="102" t="s">
        <v>151</v>
      </c>
      <c r="C45" s="103"/>
      <c r="D45" s="103"/>
      <c r="E45" s="103"/>
      <c r="F45" s="104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104</v>
      </c>
      <c r="C46" s="103"/>
      <c r="D46" s="103"/>
      <c r="E46" s="103"/>
      <c r="F46" s="104"/>
      <c r="G46" s="26">
        <f>(G44+G45)*'Fane 15. Nøgletal'!C25</f>
        <v>300870.88188032719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fJYAXwPC1EkdeOqXgoniDr04u2PZswVnFFAL2jSi2j6jEYjjmsNtOPniHfvLQyIGgzVZZBLd1v/+ve/Rm2Szw==" saltValue="kx2uv+AOeVfLThxLwEj5W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8" t="s">
        <v>219</v>
      </c>
      <c r="C2" s="108"/>
      <c r="D2" s="108"/>
      <c r="E2" s="108"/>
      <c r="F2" s="108"/>
      <c r="G2" s="108"/>
      <c r="H2" s="108"/>
      <c r="I2" s="1"/>
    </row>
    <row r="3" spans="1:9" ht="18.75" x14ac:dyDescent="0.3">
      <c r="A3" s="1"/>
      <c r="B3" s="57"/>
      <c r="C3" s="57"/>
      <c r="D3" s="57"/>
      <c r="E3" s="57"/>
      <c r="F3" s="57"/>
      <c r="G3" s="57"/>
      <c r="H3" s="57"/>
      <c r="I3" s="1"/>
    </row>
    <row r="4" spans="1:9" x14ac:dyDescent="0.25">
      <c r="A4" s="1"/>
      <c r="B4" s="96" t="s">
        <v>98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48245693.613575146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439035.81188353384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106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48643274.313221224</v>
      </c>
      <c r="H10" s="14" t="s">
        <v>3</v>
      </c>
      <c r="I10" s="1"/>
    </row>
    <row r="11" spans="1:9" x14ac:dyDescent="0.25">
      <c r="A11" s="1"/>
      <c r="B11" s="102" t="s">
        <v>245</v>
      </c>
      <c r="C11" s="103"/>
      <c r="D11" s="103"/>
      <c r="E11" s="103"/>
      <c r="F11" s="104"/>
      <c r="G11" s="26">
        <v>152301.04340513801</v>
      </c>
      <c r="H11" s="14" t="s">
        <v>3</v>
      </c>
      <c r="I11" s="1"/>
    </row>
    <row r="12" spans="1:9" x14ac:dyDescent="0.25">
      <c r="A12" s="1"/>
      <c r="B12" s="105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863681.68381228659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110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(SUM(G10:G12)-G13)*(1+'Fane 15. Nøgletal'!C10)</f>
        <v>48770701.812088326</v>
      </c>
      <c r="H17" s="14" t="s">
        <v>3</v>
      </c>
      <c r="I17" s="1"/>
    </row>
    <row r="18" spans="1:9" x14ac:dyDescent="0.25">
      <c r="A18" s="1"/>
      <c r="B18" s="105" t="s">
        <v>112</v>
      </c>
      <c r="C18" s="106"/>
      <c r="D18" s="106"/>
      <c r="E18" s="106"/>
      <c r="F18" s="107"/>
      <c r="G18" s="26">
        <v>282660.06289422995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865700.56462114316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114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(G17+G18-G19)*(1+'Fane 15. Nøgletal'!C12)</f>
        <v>49136958.238175541</v>
      </c>
      <c r="H23" s="14" t="s">
        <v>3</v>
      </c>
      <c r="I23" s="1"/>
    </row>
    <row r="24" spans="1:9" x14ac:dyDescent="0.25">
      <c r="A24" s="1"/>
      <c r="B24" s="105" t="s">
        <v>116</v>
      </c>
      <c r="C24" s="106"/>
      <c r="D24" s="106"/>
      <c r="E24" s="106"/>
      <c r="F24" s="107"/>
      <c r="G24" s="26">
        <f>('Fane 2.1. Økonomisk ramme 2020'!C11+'Fane 2.1. Økonomisk ramme 2020'!C13+'Fane 2.1. Økonomisk ramme 2020'!C15)*(1+'Fane 15. Nøgletal'!C12)</f>
        <v>406392.33982778009</v>
      </c>
      <c r="H24" s="14" t="s">
        <v>3</v>
      </c>
      <c r="I24" s="1"/>
    </row>
    <row r="25" spans="1:9" x14ac:dyDescent="0.25">
      <c r="A25" s="1"/>
      <c r="B25" s="102" t="s">
        <v>117</v>
      </c>
      <c r="C25" s="103"/>
      <c r="D25" s="103"/>
      <c r="E25" s="103"/>
      <c r="F25" s="104"/>
      <c r="G25" s="26">
        <f>(G23+G24)*'Fane 15. Nøgletal'!C20</f>
        <v>1407031.1564152944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118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102" t="s">
        <v>119</v>
      </c>
      <c r="C29" s="103"/>
      <c r="D29" s="103"/>
      <c r="E29" s="103"/>
      <c r="F29" s="104"/>
      <c r="G29" s="26">
        <f>(G23+G24-G25)*(1+'Fane 15. Nøgletal'!C12)</f>
        <v>49084604.914193317</v>
      </c>
      <c r="H29" s="14" t="s">
        <v>3</v>
      </c>
      <c r="I29" s="1"/>
    </row>
    <row r="30" spans="1:9" x14ac:dyDescent="0.25">
      <c r="A30" s="1"/>
      <c r="B30" s="102" t="s">
        <v>155</v>
      </c>
      <c r="C30" s="103"/>
      <c r="D30" s="103"/>
      <c r="E30" s="103"/>
      <c r="F30" s="104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102" t="s">
        <v>120</v>
      </c>
      <c r="C31" s="103"/>
      <c r="D31" s="103"/>
      <c r="E31" s="103"/>
      <c r="F31" s="104"/>
      <c r="G31" s="26">
        <f>(G29+G30)*'Fane 15. Nøgletal'!C20</f>
        <v>1394002.7795630903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129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102" t="s">
        <v>124</v>
      </c>
      <c r="C35" s="103"/>
      <c r="D35" s="103"/>
      <c r="E35" s="103"/>
      <c r="F35" s="104"/>
      <c r="G35" s="26">
        <f>(G29+G30-G31)*(1+'Fane 15. Nøgletal'!C12)</f>
        <v>48630106.996682443</v>
      </c>
      <c r="H35" s="14" t="s">
        <v>3</v>
      </c>
      <c r="I35" s="1"/>
    </row>
    <row r="36" spans="1:9" x14ac:dyDescent="0.25">
      <c r="A36" s="1"/>
      <c r="B36" s="102" t="s">
        <v>156</v>
      </c>
      <c r="C36" s="103"/>
      <c r="D36" s="103"/>
      <c r="E36" s="103"/>
      <c r="F36" s="104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102" t="s">
        <v>121</v>
      </c>
      <c r="C37" s="103"/>
      <c r="D37" s="103"/>
      <c r="E37" s="103"/>
      <c r="F37" s="104"/>
      <c r="G37" s="26">
        <f>(G35+G36)*'Fane 15. Nøgletal'!C20</f>
        <v>1381095.0387057816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130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102" t="s">
        <v>123</v>
      </c>
      <c r="C41" s="103"/>
      <c r="D41" s="103"/>
      <c r="E41" s="103"/>
      <c r="F41" s="104"/>
      <c r="G41" s="26">
        <f>(G35+G36-G37)*(1+'Fane 15. Nøgletal'!C12)</f>
        <v>48179817.493548803</v>
      </c>
      <c r="H41" s="14" t="s">
        <v>3</v>
      </c>
      <c r="I41" s="1"/>
    </row>
    <row r="42" spans="1:9" x14ac:dyDescent="0.25">
      <c r="A42" s="1"/>
      <c r="B42" s="102" t="s">
        <v>157</v>
      </c>
      <c r="C42" s="103"/>
      <c r="D42" s="103"/>
      <c r="E42" s="103"/>
      <c r="F42" s="104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102" t="s">
        <v>122</v>
      </c>
      <c r="C43" s="103"/>
      <c r="D43" s="103"/>
      <c r="E43" s="103"/>
      <c r="F43" s="104"/>
      <c r="G43" s="26">
        <f>(G41+G42)*'Fane 15. Nøgletal'!C20</f>
        <v>1368306.8168167861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v3ZLpbhW2E/1csE9LAWujxiMaE4WuYIXzCMa5PgEQyUA/XO6sGRGINzre2dVvAC1XUW4LzVSFee2pmWcubS5w==" saltValue="KtNpQ2vLxWaiIU2XNugGkA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148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>
        <v>3.2452743806543937E-3</v>
      </c>
      <c r="H9" s="14"/>
      <c r="I9" s="1"/>
    </row>
    <row r="10" spans="1:9" x14ac:dyDescent="0.25">
      <c r="A10" s="1"/>
      <c r="B10" s="102" t="s">
        <v>132</v>
      </c>
      <c r="C10" s="103"/>
      <c r="D10" s="103"/>
      <c r="E10" s="103"/>
      <c r="F10" s="104"/>
      <c r="G10" s="25">
        <v>0</v>
      </c>
      <c r="H10" s="14"/>
      <c r="I10" s="1"/>
    </row>
    <row r="11" spans="1:9" x14ac:dyDescent="0.25">
      <c r="A11" s="1"/>
      <c r="B11" s="102" t="s">
        <v>133</v>
      </c>
      <c r="C11" s="103"/>
      <c r="D11" s="103"/>
      <c r="E11" s="103"/>
      <c r="F11" s="104"/>
      <c r="G11" s="43">
        <v>6.7481871975681703E-3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9" t="s">
        <v>78</v>
      </c>
      <c r="C14" s="109"/>
      <c r="D14" s="109"/>
      <c r="E14" s="109"/>
      <c r="F14" s="109"/>
      <c r="G14" s="109"/>
      <c r="H14" s="109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dKJNVzIP4Bx+gbBqVEdPeVNzA6/4FCxSWHqs2SLIOwxzE/NXI3+SUocKc+U82KDHbT+O11A/wWoGLMYoPXY7yw==" saltValue="zAA4BDKSmNebGFcnJV0L/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2019-10-08T09:40:36Z</dcterms:modified>
</cp:coreProperties>
</file>