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axe Spildevand AS (S01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4" i="11" l="1"/>
  <c r="E13" i="11"/>
  <c r="E12" i="11"/>
  <c r="E11" i="11"/>
  <c r="E19" i="40" l="1"/>
  <c r="E16" i="40" l="1"/>
  <c r="E12" i="40"/>
  <c r="E15" i="11" l="1"/>
  <c r="E16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7" i="11" l="1"/>
  <c r="C10" i="37" s="1"/>
  <c r="C12" i="37" s="1"/>
  <c r="C13" i="37" s="1"/>
  <c r="C10" i="2" s="1"/>
  <c r="G17" i="11"/>
  <c r="E11" i="21" l="1"/>
  <c r="C11" i="21"/>
  <c r="E11" i="29"/>
  <c r="C11" i="29"/>
  <c r="C13" i="19"/>
  <c r="C14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7" i="11"/>
  <c r="E10" i="37" s="1"/>
  <c r="E12" i="37" s="1"/>
  <c r="E13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<sst xmlns="http://schemas.openxmlformats.org/spreadsheetml/2006/main" count="680" uniqueCount="268">
  <si>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</si>
  <si>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</si>
  <si>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</si>
  <si>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</si>
  <si>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</si>
  <si>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</si>
  <si>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</si>
  <si>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</si>
  <si>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</si>
  <si>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</si>
  <si>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</si>
  <si>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</si>
  <si>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</si>
  <si>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</si>
  <si>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</si>
  <si>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</si>
  <si>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</si>
  <si>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</si>
  <si>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</si>
  <si>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</si>
  <si>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</si>
  <si>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</si>
  <si>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</si>
  <si>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</si>
  <si>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</si>
  <si>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</si>
  <si>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</si>
  <si>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</si>
  <si>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</si>
  <si>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</si>
  <si>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</si>
  <si>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</si>
  <si>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</si>
  <si>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</si>
  <si>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</si>
  <si>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</si>
  <si>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</si>
  <si>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</si>
  <si>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</si>
  <si>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</si>
  <si>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</si>
  <si>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</si>
  <si>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</si>
  <si>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</si>
  <si>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</si>
  <si>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</si>
  <si>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</si>
  <si>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</si>
  <si>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</si>
  <si>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</si>
  <si>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</si>
  <si>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</si>
  <si>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</si>
  <si>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</si>
  <si>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</si>
  <si>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</si>
  <si>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</si>
  <si>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</si>
  <si>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</si>
  <si>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</si>
  <si>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</si>
  <si>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</si>
  <si>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</si>
  <si>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</si>
  <si>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</si>
  <si>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</si>
  <si>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</si>
  <si>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</si>
  <si>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</si>
  <si>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</si>
  <si>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</si>
  <si>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</si>
  <si>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</si>
  <si>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</si>
  <si>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</si>
  <si>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</si>
  <si>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</si>
  <si>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</si>
  <si>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</si>
  <si>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</si>
  <si>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</si>
  <si>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</si>
  <si>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</si>
  <si>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</si>
  <si>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</si>
  <si>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</si>
  <si>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</si>
  <si>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</si>
  <si>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</si>
  <si>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</si>
  <si>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</si>
  <si>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</si>
  <si>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</si>
  <si>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</si>
  <si>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</si>
  <si>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</si>
  <si>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</si>
  <si>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</si>
  <si>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</si>
  <si>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</si>
  <si>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</si>
  <si>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</si>
  <si>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</si>
  <si>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</si>
  <si>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</si>
  <si>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</si>
  <si>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</si>
  <si>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</si>
  <si>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</si>
  <si>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</si>
  <si>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</si>
  <si>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</si>
  <si>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</si>
  <si>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</si>
  <si>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</si>
  <si>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</si>
  <si>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</si>
  <si>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</si>
  <si>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</si>
  <si>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</si>
  <si>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</si>
  <si>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</si>
  <si>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</si>
  <si>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</si>
  <si>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</si>
  <si>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</si>
  <si>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</si>
  <si>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</si>
  <si>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</si>
  <si>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</si>
  <si>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</si>
  <si>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</si>
  <si>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</si>
  <si>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</si>
  <si>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</si>
  <si>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</si>
  <si>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</si>
  <si>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</si>
  <si>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</si>
  <si>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</si>
  <si>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</si>
  <si>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</si>
  <si>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</si>
  <si>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</si>
  <si>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</si>
  <si>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</si>
  <si>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</si>
  <si>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</si>
  <si>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</si>
  <si>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</si>
  <si>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</si>
  <si>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</si>
  <si>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</si>
  <si>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</si>
  <si>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</si>
  <si>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</si>
  <si>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</si>
  <si>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</si>
  <si>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</si>
  <si>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</si>
  <si>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</si>
  <si>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</si>
  <si>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</si>
  <si>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</si>
  <si>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</si>
  <si>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</si>
  <si>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</si>
  <si>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</si>
  <si>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</si>
  <si>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</si>
  <si>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</si>
  <si>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</si>
  <si>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</si>
  <si>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</si>
  <si>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</si>
  <si>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</si>
  <si>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</si>
  <si>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</si>
  <si>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</si>
  <si>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</si>
  <si>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</si>
  <si>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</si>
  <si>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</si>
  <si>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</si>
  <si>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</si>
  <si>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</si>
  <si>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</si>
  <si>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</si>
  <si>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</si>
  <si>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</si>
  <si>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</si>
  <si>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</si>
  <si>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</si>
  <si>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</si>
  <si>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</si>
  <si>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</si>
  <si>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</si>
  <si>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</si>
  <si>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</si>
  <si>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</si>
  <si>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</si>
  <si>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</si>
  <si>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</si>
  <si>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</si>
  <si>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</si>
  <si>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</si>
  <si>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</si>
  <si>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</si>
  <si>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</si>
  <si>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</si>
  <si>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</si>
  <si>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</si>
  <si>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</si>
  <si>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</si>
  <si>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</si>
  <si>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</si>
  <si>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</si>
  <si>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</si>
  <si>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</si>
  <si>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</si>
  <si>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</si>
  <si>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</si>
  <si>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</si>
  <si>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</si>
  <si>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</si>
  <si>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</si>
  <si>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</si>
  <si>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</si>
  <si>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</si>
  <si>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</si>
  <si>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</si>
  <si>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</si>
  <si>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</si>
  <si>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</si>
  <si>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</si>
  <si>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</si>
  <si>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</si>
  <si>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</si>
  <si>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</si>
  <si>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</si>
  <si>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</si>
  <si>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</si>
  <si>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</si>
  <si>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</si>
  <si>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</si>
  <si>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</si>
  <si>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</si>
  <si>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</si>
  <si>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</si>
  <si>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</si>
  <si>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</si>
  <si>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</si>
  <si>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</si>
  <si>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</si>
  <si>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</si>
  <si>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</si>
  <si>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</si>
  <si>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</si>
  <si>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</si>
  <si>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Byggemodninger og nye tilslutninger</t>
  </si>
  <si>
    <t>Ingen engangstillæg</t>
  </si>
  <si>
    <t>Ledningsnet ≤ Ø 200 mm</t>
  </si>
  <si>
    <t>Pumpestationer i brønde (&lt; 6,25 m2), Mek/EL</t>
  </si>
  <si>
    <t>Jordbassin Klasse B</t>
  </si>
  <si>
    <t>Anlægsprojekter igangsat senest 1. marts 2016</t>
  </si>
  <si>
    <t>Afgift til Forsyningssekretariatet</t>
  </si>
  <si>
    <t>Køb af ydelser og produkter fra andre vandselskaber reguleret af vandsektorloven</t>
  </si>
  <si>
    <t>Ejendomsskatter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</si>
</sst>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172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52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23</v>
      </c>
      <c r="D14" s="70" t="s">
        <v>54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51</v>
      </c>
      <c r="D15" s="70" t="s">
        <v>135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53</v>
      </c>
      <c r="D16" s="70" t="s">
        <v>136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241</v>
      </c>
      <c r="D17" s="70" t="s">
        <v>63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212</v>
      </c>
      <c r="D18" s="64" t="s">
        <v>180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213</v>
      </c>
      <c r="D19" s="64" t="s">
        <v>181</v>
      </c>
      <c r="E19" s="65"/>
      <c r="F19" s="65"/>
      <c r="G19" s="66"/>
      <c r="H19" s="1"/>
      <c r="I19" s="1"/>
    </row>
    <row r="20" spans="1:9" x14ac:dyDescent="0.25">
      <c r="A20" s="1"/>
      <c r="B20" s="1"/>
      <c r="C20" s="6" t="s">
        <v>7</v>
      </c>
      <c r="D20" s="64" t="s">
        <v>10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214</v>
      </c>
      <c r="D21" s="74" t="s">
        <v>17</v>
      </c>
      <c r="E21" s="75"/>
      <c r="F21" s="75"/>
      <c r="G21" s="76"/>
      <c r="H21" s="1"/>
      <c r="I21" s="1"/>
    </row>
    <row r="22" spans="1:9" x14ac:dyDescent="0.25">
      <c r="A22" s="1"/>
      <c r="B22" s="1"/>
      <c r="C22" s="6" t="s">
        <v>142</v>
      </c>
      <c r="D22" s="58" t="s">
        <v>176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249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215</v>
      </c>
      <c r="D25" s="58" t="s">
        <v>143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216</v>
      </c>
      <c r="D26" s="58" t="s">
        <v>144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217</v>
      </c>
      <c r="D27" s="58" t="s">
        <v>145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22</v>
      </c>
      <c r="D28" s="58" t="s">
        <v>56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58</v>
      </c>
      <c r="D29" s="58" t="s">
        <v>57</v>
      </c>
      <c r="E29" s="59"/>
      <c r="F29" s="59"/>
      <c r="G29" s="60"/>
      <c r="H29" s="1"/>
      <c r="I29" s="1"/>
    </row>
    <row r="30" spans="1:9" x14ac:dyDescent="0.25">
      <c r="A30" s="1"/>
      <c r="B30" s="1"/>
      <c r="C30" s="6" t="s">
        <v>59</v>
      </c>
      <c r="D30" s="67" t="s">
        <v>11</v>
      </c>
      <c r="E30" s="68"/>
      <c r="F30" s="68"/>
      <c r="G30" s="69"/>
      <c r="H30" s="1"/>
      <c r="I30" s="1"/>
    </row>
    <row r="31" spans="1:9" x14ac:dyDescent="0.25">
      <c r="A31" s="1"/>
      <c r="B31" s="1"/>
      <c r="C31" s="6" t="s">
        <v>175</v>
      </c>
      <c r="D31" s="61" t="s">
        <v>207</v>
      </c>
      <c r="E31" s="62"/>
      <c r="F31" s="62"/>
      <c r="G31" s="63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qYqiHvPXSC2lB816LiTx7SeuAZaelV6n8e09wFZhel4dOiqawKI0FUZlxdyMwwZI0Xe+iz2XyvQhv0ixoqnmTw==" saltValue="EWqAdl4ZI9qzMbrynoWjEg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4" t="s">
        <v>66</v>
      </c>
      <c r="C8" s="85"/>
      <c r="D8" s="8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265</v>
      </c>
      <c r="C10" s="9">
        <v>40575</v>
      </c>
      <c r="D10" s="14" t="s">
        <v>3</v>
      </c>
      <c r="E10" s="1"/>
      <c r="F10" s="1"/>
    </row>
    <row r="11" spans="1:6" ht="26.25" x14ac:dyDescent="0.25">
      <c r="A11" s="1"/>
      <c r="B11" s="35" t="s">
        <v>266</v>
      </c>
      <c r="C11" s="9">
        <v>17786830</v>
      </c>
      <c r="D11" s="14" t="s">
        <v>3</v>
      </c>
      <c r="E11" s="1"/>
      <c r="F11" s="1"/>
    </row>
    <row r="12" spans="1:6" x14ac:dyDescent="0.25">
      <c r="A12" s="1"/>
      <c r="B12" s="53" t="s">
        <v>267</v>
      </c>
      <c r="C12" s="9">
        <v>97273</v>
      </c>
      <c r="D12" s="14" t="s">
        <v>3</v>
      </c>
      <c r="E12" s="1"/>
      <c r="F12" s="1"/>
    </row>
    <row r="13" spans="1:6" x14ac:dyDescent="0.25">
      <c r="A13" s="1"/>
      <c r="B13" s="40" t="s">
        <v>68</v>
      </c>
      <c r="C13" s="12">
        <f>SUM(C10:C12)</f>
        <v>17924678</v>
      </c>
      <c r="D13" s="13" t="s">
        <v>3</v>
      </c>
      <c r="E13" s="1"/>
      <c r="F13" s="1"/>
    </row>
    <row r="14" spans="1:6" x14ac:dyDescent="0.25">
      <c r="A14" s="1"/>
      <c r="B14" s="40" t="s">
        <v>69</v>
      </c>
      <c r="C14" s="12">
        <f>C13*(1+'Fane 15. Nøgletal'!C12)^2</f>
        <v>18637866.701485019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84" t="s">
        <v>236</v>
      </c>
      <c r="C17" s="85"/>
      <c r="D17" s="86"/>
      <c r="E17" s="1"/>
      <c r="F17" s="1"/>
    </row>
    <row r="18" spans="1:6" x14ac:dyDescent="0.25">
      <c r="A18" s="1"/>
      <c r="B18" s="53" t="s">
        <v>197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53" t="s">
        <v>198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3" t="s">
        <v>199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200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84"/>
      <c r="C22" s="85"/>
      <c r="D22" s="86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84" t="s">
        <v>196</v>
      </c>
      <c r="C25" s="85"/>
      <c r="D25" s="86"/>
      <c r="E25" s="1"/>
      <c r="F25" s="1"/>
    </row>
    <row r="26" spans="1:6" x14ac:dyDescent="0.25">
      <c r="A26" s="1"/>
      <c r="B26" s="53" t="s">
        <v>197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3" t="s">
        <v>198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84"/>
      <c r="C30" s="85"/>
      <c r="D30" s="86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6cWHRNfumPfn2slGCGEH22K48yDSkarTBeRGFS0tH0Wwvbo6CKL29TgtXqaN+t+CUZjD83TxibT8Kfkdy7tlZw==" saltValue="xY1BBnQipxIImYxOHjVZCA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226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ht="15" customHeight="1" x14ac:dyDescent="0.25">
      <c r="A5" s="1"/>
      <c r="B5" s="46"/>
      <c r="C5" s="46"/>
      <c r="D5" s="46"/>
      <c r="E5" s="46"/>
      <c r="F5" s="46"/>
      <c r="G5" s="1"/>
    </row>
    <row r="6" spans="1:7" ht="15" customHeight="1" x14ac:dyDescent="0.25">
      <c r="A6" s="1"/>
      <c r="B6" s="46"/>
      <c r="C6" s="46"/>
      <c r="D6" s="46"/>
      <c r="E6" s="46"/>
      <c r="F6" s="4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183</v>
      </c>
      <c r="C8" s="85"/>
      <c r="D8" s="85"/>
      <c r="E8" s="85"/>
      <c r="F8" s="86"/>
      <c r="G8" s="1"/>
    </row>
    <row r="9" spans="1:7" x14ac:dyDescent="0.25">
      <c r="A9" s="1"/>
      <c r="B9" s="97" t="s">
        <v>184</v>
      </c>
      <c r="C9" s="98"/>
      <c r="D9" s="99"/>
      <c r="E9" s="9">
        <v>71695704.42966187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61769225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9926479.42966187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4" t="s">
        <v>73</v>
      </c>
      <c r="C17" s="85"/>
      <c r="D17" s="85"/>
      <c r="E17" s="85"/>
      <c r="F17" s="86"/>
      <c r="G17" s="1"/>
    </row>
    <row r="18" spans="1:7" x14ac:dyDescent="0.25">
      <c r="A18" s="1"/>
      <c r="B18" s="97" t="s">
        <v>74</v>
      </c>
      <c r="C18" s="98"/>
      <c r="D18" s="99"/>
      <c r="E18" s="9">
        <v>70650150.193234429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57760967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12889183.193234429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4" t="s">
        <v>179</v>
      </c>
      <c r="C25" s="85"/>
      <c r="D25" s="85"/>
      <c r="E25" s="85"/>
      <c r="F25" s="8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PipJHUaHRhBj0FH4NMaCwLt68Tv/ep+WGcY2oy7AMcfDibYz7p25D8WfFoeDKl+wcdXlSy0aBiNh5jrBGZJo4A==" saltValue="XhhIlIoPADkLjRIrLEQzVQ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252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4" t="s">
        <v>177</v>
      </c>
      <c r="C9" s="85"/>
      <c r="D9" s="85"/>
      <c r="E9" s="85"/>
      <c r="F9" s="8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84" t="s">
        <v>178</v>
      </c>
      <c r="C13" s="85"/>
      <c r="D13" s="85"/>
      <c r="E13" s="85"/>
      <c r="F13" s="85"/>
      <c r="G13" s="1"/>
    </row>
    <row r="14" spans="1:7" x14ac:dyDescent="0.25">
      <c r="A14" s="1"/>
      <c r="B14" s="97" t="s">
        <v>210</v>
      </c>
      <c r="C14" s="98"/>
      <c r="D14" s="99"/>
      <c r="E14" s="9">
        <v>0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84" t="s">
        <v>173</v>
      </c>
      <c r="C17" s="85"/>
      <c r="D17" s="85"/>
      <c r="E17" s="85"/>
      <c r="F17" s="8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oKXjnEdQGK+snKmJSap7DtNOZ8U4Qj6IOAOwR9E4QJvKvovtwojdFKdfr8cwfJGsWVc6GrrhY9d+rITwVpZOw==" saltValue="XotbJoMXUXqTfWAidsWKGg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2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254</v>
      </c>
      <c r="C8" s="85"/>
      <c r="D8" s="85"/>
      <c r="E8" s="85"/>
      <c r="F8" s="85"/>
      <c r="G8" s="85"/>
      <c r="H8" s="8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261</v>
      </c>
      <c r="C10" s="56">
        <v>75</v>
      </c>
      <c r="D10" s="9">
        <v>58077.67</v>
      </c>
      <c r="E10" s="9">
        <f>IFERROR(D10/C10,0)</f>
        <v>774.3689333333333</v>
      </c>
      <c r="F10" s="9">
        <v>0</v>
      </c>
      <c r="G10" s="9">
        <v>121.95</v>
      </c>
      <c r="H10" s="14" t="s">
        <v>3</v>
      </c>
      <c r="I10" s="1"/>
    </row>
    <row r="11" spans="1:9" x14ac:dyDescent="0.25">
      <c r="A11" s="1"/>
      <c r="B11" s="55" t="s">
        <v>261</v>
      </c>
      <c r="C11" s="56">
        <v>75</v>
      </c>
      <c r="D11" s="9">
        <v>351877.15</v>
      </c>
      <c r="E11" s="9">
        <f t="shared" ref="E11:E14" si="0">IFERROR(D11/C11,0)</f>
        <v>4691.695333333334</v>
      </c>
      <c r="F11" s="9">
        <v>0</v>
      </c>
      <c r="G11" s="9">
        <v>738.86</v>
      </c>
      <c r="H11" s="14" t="s">
        <v>3</v>
      </c>
      <c r="I11" s="1"/>
    </row>
    <row r="12" spans="1:9" x14ac:dyDescent="0.25">
      <c r="A12" s="1"/>
      <c r="B12" s="55" t="s">
        <v>261</v>
      </c>
      <c r="C12" s="56">
        <v>75</v>
      </c>
      <c r="D12" s="9">
        <v>19749824.91</v>
      </c>
      <c r="E12" s="9">
        <f t="shared" si="0"/>
        <v>263330.9988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5" t="s">
        <v>262</v>
      </c>
      <c r="C13" s="56">
        <v>20</v>
      </c>
      <c r="D13" s="9">
        <v>223493.65</v>
      </c>
      <c r="E13" s="9">
        <f t="shared" si="0"/>
        <v>11174.682499999999</v>
      </c>
      <c r="F13" s="9">
        <v>0</v>
      </c>
      <c r="G13" s="9">
        <v>22871.3</v>
      </c>
      <c r="H13" s="14" t="s">
        <v>3</v>
      </c>
      <c r="I13" s="1"/>
    </row>
    <row r="14" spans="1:9" x14ac:dyDescent="0.25">
      <c r="A14" s="1"/>
      <c r="B14" s="55" t="s">
        <v>261</v>
      </c>
      <c r="C14" s="56">
        <v>75</v>
      </c>
      <c r="D14" s="9">
        <v>7108854.5999999996</v>
      </c>
      <c r="E14" s="9">
        <f t="shared" si="0"/>
        <v>94784.727999999988</v>
      </c>
      <c r="F14" s="9">
        <v>0</v>
      </c>
      <c r="G14" s="9">
        <v>14343.19</v>
      </c>
      <c r="H14" s="14" t="s">
        <v>3</v>
      </c>
      <c r="I14" s="1"/>
    </row>
    <row r="15" spans="1:9" x14ac:dyDescent="0.25">
      <c r="A15" s="1"/>
      <c r="B15" s="55" t="s">
        <v>261</v>
      </c>
      <c r="C15" s="56">
        <v>75</v>
      </c>
      <c r="D15" s="9">
        <v>3149285.68</v>
      </c>
      <c r="E15" s="9">
        <f t="shared" ref="E15:E16" si="1">IFERROR(D15/C15,0)</f>
        <v>41990.475733333333</v>
      </c>
      <c r="F15" s="9">
        <v>0</v>
      </c>
      <c r="G15" s="9">
        <v>13792.86</v>
      </c>
      <c r="H15" s="14" t="s">
        <v>3</v>
      </c>
      <c r="I15" s="1"/>
    </row>
    <row r="16" spans="1:9" x14ac:dyDescent="0.25">
      <c r="A16" s="1"/>
      <c r="B16" s="55" t="s">
        <v>263</v>
      </c>
      <c r="C16" s="56">
        <v>50</v>
      </c>
      <c r="D16" s="9">
        <v>3548796.69</v>
      </c>
      <c r="E16" s="9">
        <f t="shared" si="1"/>
        <v>70975.933799999999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84" t="s">
        <v>255</v>
      </c>
      <c r="C17" s="85"/>
      <c r="D17" s="86"/>
      <c r="E17" s="12">
        <f>SUM(E10:E16)</f>
        <v>487722.88309999998</v>
      </c>
      <c r="F17" s="12">
        <f>SUM(F10:F16)</f>
        <v>0</v>
      </c>
      <c r="G17" s="12">
        <f>SUM(G10:G16)</f>
        <v>51868.160000000003</v>
      </c>
      <c r="H17" s="13" t="s">
        <v>3</v>
      </c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</sheetData>
  <sheetProtection algorithmName="SHA-512" hashValue="eC26BiJ+H4TxCMEbdpNN07ivBtvRMhBbtyGHs3ntyXRB8NwsJNQzXulGhp2I+Iff2en5igHslHh6sW7c1ZQINg==" saltValue="14GNkzGsNkPN5k40w67hvg==" spinCount="100000" sheet="1" objects="1" scenarios="1"/>
  <mergeCells count="3">
    <mergeCell ref="B3:H4"/>
    <mergeCell ref="B17:D17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264</v>
      </c>
      <c r="C10" s="24">
        <f>'Fane 9. Anlægsprojekter'!F17</f>
        <v>0</v>
      </c>
      <c r="D10" s="14" t="s">
        <v>3</v>
      </c>
      <c r="E10" s="9">
        <f>SUM('Fane 9. Anlægsprojekter'!E17,'Fane 9. Anlægsprojekter'!G17)</f>
        <v>539591.04310000001</v>
      </c>
      <c r="F10" s="14" t="s">
        <v>3</v>
      </c>
      <c r="G10" s="1"/>
    </row>
    <row r="11" spans="1:7" x14ac:dyDescent="0.25">
      <c r="A11" s="1"/>
      <c r="B11" s="57" t="s">
        <v>259</v>
      </c>
      <c r="C11" s="24">
        <v>97310</v>
      </c>
      <c r="D11" s="14" t="s">
        <v>3</v>
      </c>
      <c r="E11" s="9">
        <v>240779</v>
      </c>
      <c r="F11" s="14" t="s">
        <v>3</v>
      </c>
      <c r="G11" s="1"/>
    </row>
    <row r="12" spans="1:7" x14ac:dyDescent="0.25">
      <c r="A12" s="1"/>
      <c r="B12" s="40" t="s">
        <v>60</v>
      </c>
      <c r="C12" s="12">
        <f>SUM(C10:C11)</f>
        <v>97310</v>
      </c>
      <c r="D12" s="13" t="s">
        <v>3</v>
      </c>
      <c r="E12" s="12">
        <f>SUM(E10:E11)</f>
        <v>780370.04310000001</v>
      </c>
      <c r="F12" s="13" t="s">
        <v>3</v>
      </c>
      <c r="G12" s="1"/>
    </row>
    <row r="13" spans="1:7" x14ac:dyDescent="0.25">
      <c r="A13" s="1"/>
      <c r="B13" s="40" t="s">
        <v>70</v>
      </c>
      <c r="C13" s="12">
        <f>C12*(1+'Fane 15. Nøgletal'!C12)</f>
        <v>99227.006999999998</v>
      </c>
      <c r="D13" s="13" t="s">
        <v>3</v>
      </c>
      <c r="E13" s="12">
        <f>E12*(1+'Fane 15. Nøgletal'!C12)</f>
        <v>795743.33294907003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NiL+o7eZ+fyldtrkdyrH0i0hI841VVlOkRIyvhklp9KhKHB+17uTsM+abtuk1GhF7nEEqx/8yq+kk+g1cqA33w==" saltValue="ZSmUcn95TGofaY1RbnYlI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187</v>
      </c>
      <c r="C8" s="85"/>
      <c r="D8" s="85"/>
      <c r="E8" s="85"/>
      <c r="F8" s="86"/>
      <c r="G8" s="1"/>
    </row>
    <row r="9" spans="1:7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260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4" t="s">
        <v>188</v>
      </c>
      <c r="C16" s="85"/>
      <c r="D16" s="85"/>
      <c r="E16" s="85"/>
      <c r="F16" s="86"/>
      <c r="G16" s="1"/>
    </row>
    <row r="17" spans="1:7" x14ac:dyDescent="0.25">
      <c r="A17" s="1"/>
      <c r="B17" s="51" t="s">
        <v>25</v>
      </c>
      <c r="C17" s="51" t="s">
        <v>16</v>
      </c>
      <c r="D17" s="52"/>
      <c r="E17" s="51" t="s">
        <v>48</v>
      </c>
      <c r="F17" s="39"/>
      <c r="G17" s="1"/>
    </row>
    <row r="18" spans="1:7" x14ac:dyDescent="0.25">
      <c r="A18" s="1"/>
      <c r="B18" s="27" t="s">
        <v>260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4" t="s">
        <v>189</v>
      </c>
      <c r="C24" s="85"/>
      <c r="D24" s="85"/>
      <c r="E24" s="85"/>
      <c r="F24" s="86"/>
      <c r="G24" s="1"/>
    </row>
    <row r="25" spans="1:7" x14ac:dyDescent="0.25">
      <c r="A25" s="1"/>
      <c r="B25" s="51" t="s">
        <v>25</v>
      </c>
      <c r="C25" s="51" t="s">
        <v>16</v>
      </c>
      <c r="D25" s="52"/>
      <c r="E25" s="51" t="s">
        <v>48</v>
      </c>
      <c r="F25" s="39"/>
      <c r="G25" s="1"/>
    </row>
    <row r="26" spans="1:7" x14ac:dyDescent="0.25">
      <c r="A26" s="1"/>
      <c r="B26" s="27" t="s">
        <v>260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4" t="s">
        <v>190</v>
      </c>
      <c r="C32" s="85"/>
      <c r="D32" s="85"/>
      <c r="E32" s="85"/>
      <c r="F32" s="86"/>
      <c r="G32" s="1"/>
    </row>
    <row r="33" spans="1:7" x14ac:dyDescent="0.25">
      <c r="A33" s="1"/>
      <c r="B33" s="51" t="s">
        <v>25</v>
      </c>
      <c r="C33" s="51" t="s">
        <v>16</v>
      </c>
      <c r="D33" s="52"/>
      <c r="E33" s="51" t="s">
        <v>48</v>
      </c>
      <c r="F33" s="39"/>
      <c r="G33" s="1"/>
    </row>
    <row r="34" spans="1:7" x14ac:dyDescent="0.25">
      <c r="A34" s="1"/>
      <c r="B34" s="27" t="s">
        <v>260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GrKM2bRGKrLwd5AlvflKtbHOy5nwupjagojmNm2mDVVMtE5ZNB8Uiz9mP4tUNAaH34Ynf4+y4FOIwk9GQQT2fg==" saltValue="D7vdBfXoRCmzFeO3rlbfm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227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160</v>
      </c>
      <c r="C8" s="85"/>
      <c r="D8" s="85"/>
      <c r="E8" s="85"/>
      <c r="F8" s="86"/>
      <c r="G8" s="1"/>
    </row>
    <row r="9" spans="1:7" x14ac:dyDescent="0.25">
      <c r="A9" s="1"/>
      <c r="B9" s="111" t="s">
        <v>159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94" t="s">
        <v>10</v>
      </c>
      <c r="C10" s="95"/>
      <c r="D10" s="9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4" t="s">
        <v>39</v>
      </c>
      <c r="C11" s="95"/>
      <c r="D11" s="96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84" t="s">
        <v>164</v>
      </c>
      <c r="C12" s="85"/>
      <c r="D12" s="86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161</v>
      </c>
      <c r="C14" s="85"/>
      <c r="D14" s="85"/>
      <c r="E14" s="85"/>
      <c r="F14" s="86"/>
      <c r="G14" s="1"/>
    </row>
    <row r="15" spans="1:7" x14ac:dyDescent="0.25">
      <c r="A15" s="1"/>
      <c r="B15" s="111" t="s">
        <v>159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94" t="s">
        <v>10</v>
      </c>
      <c r="C16" s="95"/>
      <c r="D16" s="9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4" t="s">
        <v>39</v>
      </c>
      <c r="C17" s="95"/>
      <c r="D17" s="96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84" t="s">
        <v>165</v>
      </c>
      <c r="C18" s="85"/>
      <c r="D18" s="86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162</v>
      </c>
      <c r="C20" s="85"/>
      <c r="D20" s="85"/>
      <c r="E20" s="85"/>
      <c r="F20" s="86"/>
      <c r="G20" s="1"/>
    </row>
    <row r="21" spans="1:7" x14ac:dyDescent="0.25">
      <c r="A21" s="1"/>
      <c r="B21" s="111" t="s">
        <v>159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94" t="s">
        <v>10</v>
      </c>
      <c r="C22" s="95"/>
      <c r="D22" s="9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4" t="s">
        <v>39</v>
      </c>
      <c r="C23" s="95"/>
      <c r="D23" s="96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84" t="s">
        <v>166</v>
      </c>
      <c r="C24" s="85"/>
      <c r="D24" s="86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163</v>
      </c>
      <c r="C26" s="85"/>
      <c r="D26" s="85"/>
      <c r="E26" s="85"/>
      <c r="F26" s="86"/>
      <c r="G26" s="1"/>
    </row>
    <row r="27" spans="1:7" x14ac:dyDescent="0.25">
      <c r="A27" s="1"/>
      <c r="B27" s="111" t="s">
        <v>159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94" t="s">
        <v>10</v>
      </c>
      <c r="C28" s="95"/>
      <c r="D28" s="9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4" t="s">
        <v>39</v>
      </c>
      <c r="C29" s="95"/>
      <c r="D29" s="96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84" t="s">
        <v>167</v>
      </c>
      <c r="C30" s="85"/>
      <c r="D30" s="86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TLPvME0OXj6i8pcS1GVctNw6BcPb98dS5TU3oPqA/+2Njv2eqxkTxaO0p2OJQYx30626vPgVDrqTXiIMvnHmBQ==" saltValue="R60F8ILeCyZXt+zUeXCO6A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223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32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VPCJT2rdYNNeliI62XEq5vdAwZTp6pEmEG4GPv+8K9Z0aHsbeO/4rNnHePeC2XRSkI+K7Jk+sr+0dlExPO9sxA==" saltValue="ScGUEzXqjLZ0FCsWGukjm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222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169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170</v>
      </c>
      <c r="C14" s="85"/>
      <c r="D14" s="85"/>
      <c r="E14" s="85"/>
      <c r="F14" s="8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168</v>
      </c>
      <c r="C20" s="85"/>
      <c r="D20" s="85"/>
      <c r="E20" s="85"/>
      <c r="F20" s="8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171</v>
      </c>
      <c r="C26" s="85"/>
      <c r="D26" s="85"/>
      <c r="E26" s="85"/>
      <c r="F26" s="8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lEHEFlfj+mkUnavFxNq4+0vTIx5NEpJZdhN9oiqvxq3c39CclRmbtSgQ477AgkPU+Cq6gsaMT60pH52Gc3OTpQ==" saltValue="9QNm5n/uWDHoIjs2BEak4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18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2522359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-2522359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0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0</v>
      </c>
      <c r="H13" s="14" t="s">
        <v>28</v>
      </c>
      <c r="I13" s="1"/>
    </row>
    <row r="14" spans="1:9" x14ac:dyDescent="0.25">
      <c r="A14" s="1"/>
      <c r="B14" s="84" t="s">
        <v>138</v>
      </c>
      <c r="C14" s="85"/>
      <c r="D14" s="85"/>
      <c r="E14" s="85"/>
      <c r="F14" s="86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uRqWWO4yHoC9ZiMpOV5JwogsOrKUVq1r6z34FK0IQdF2e0A4iyTdXaKP8voE/wYi0HEqNz9UIB2vZhhK9W+4Q==" saltValue="bCnWOHATm+5dnOXqfhOGZ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49290878.75592532</v>
      </c>
      <c r="D9" s="8" t="s">
        <v>3</v>
      </c>
      <c r="E9" s="1"/>
    </row>
    <row r="10" spans="1:5" ht="17.100000000000001" customHeight="1" x14ac:dyDescent="0.25">
      <c r="A10" s="1"/>
      <c r="B10" s="47" t="s">
        <v>64</v>
      </c>
      <c r="C10" s="7">
        <f>'Fane 10.1. Varige tillæg'!C13</f>
        <v>99227.006999999998</v>
      </c>
      <c r="D10" s="8" t="s">
        <v>3</v>
      </c>
      <c r="E10" s="1"/>
    </row>
    <row r="11" spans="1:5" ht="17.100000000000001" customHeight="1" x14ac:dyDescent="0.25">
      <c r="A11" s="1"/>
      <c r="B11" s="47" t="s">
        <v>65</v>
      </c>
      <c r="C11" s="9">
        <f>'Fane 10.1. Varige tillæg'!E13</f>
        <v>795743.33294907003</v>
      </c>
      <c r="D11" s="8" t="s">
        <v>3</v>
      </c>
      <c r="E11" s="1"/>
    </row>
    <row r="12" spans="1:5" ht="17.100000000000001" customHeight="1" x14ac:dyDescent="0.25">
      <c r="A12" s="1"/>
      <c r="B12" s="47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7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7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7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7" t="s">
        <v>27</v>
      </c>
      <c r="C16" s="9">
        <f>SUM(C9:C15)*'Fane 15. Nøgletal'!C12</f>
        <v>988661.22718872549</v>
      </c>
      <c r="D16" s="8" t="s">
        <v>3</v>
      </c>
      <c r="E16" s="1"/>
    </row>
    <row r="17" spans="1:5" ht="17.100000000000001" customHeight="1" x14ac:dyDescent="0.25">
      <c r="A17" s="1"/>
      <c r="B17" s="47" t="s">
        <v>10</v>
      </c>
      <c r="C17" s="9">
        <f>-SUM(C9:C16)*'Fane 5. Individuelt eff. krav'!G11</f>
        <v>-399697.8326320104</v>
      </c>
      <c r="D17" s="8" t="s">
        <v>3</v>
      </c>
      <c r="E17" s="1"/>
    </row>
    <row r="18" spans="1:5" ht="17.100000000000001" customHeight="1" x14ac:dyDescent="0.25">
      <c r="A18" s="1"/>
      <c r="B18" s="47" t="s">
        <v>39</v>
      </c>
      <c r="C18" s="9">
        <f>-'Fane 4.1. Gen. krav - drift'!G28</f>
        <v>-146143.57389234254</v>
      </c>
      <c r="D18" s="8" t="s">
        <v>3</v>
      </c>
      <c r="E18" s="1"/>
    </row>
    <row r="19" spans="1:5" ht="17.100000000000001" customHeight="1" x14ac:dyDescent="0.25">
      <c r="A19" s="1"/>
      <c r="B19" s="47" t="s">
        <v>40</v>
      </c>
      <c r="C19" s="9">
        <f>-'Fane 4.2. Gen. krav - anlæg'!G25</f>
        <v>-1256374.1866608909</v>
      </c>
      <c r="D19" s="8" t="s">
        <v>3</v>
      </c>
      <c r="E19" s="1"/>
    </row>
    <row r="20" spans="1:5" ht="17.100000000000001" customHeight="1" x14ac:dyDescent="0.25">
      <c r="A20" s="1"/>
      <c r="B20" s="48" t="s">
        <v>29</v>
      </c>
      <c r="C20" s="10">
        <f>SUM(C9:C19)</f>
        <v>49372294.729877874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omk.'!C14+'Fane 6. Ikke-påvirkelige omk.'!C18+'Fane 6. Ikke-påvirkelige omk.'!C26</f>
        <v>18637866.701485019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8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7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7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8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68010161.431362897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+kLOSrCbOIN20mUnax4jsUi5SZhY4agJX73MqtBXAIZFjBUUb2X6e3Rxgsf1j6IZ87kE8IJYE9stfo2ec6ESQ==" saltValue="Mg0H7qJo9987LxQmIcAfk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248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fgDO7ZvFs3DgunzgKgy17WTH45oZpKScqYYxGQKjR4l5rMFrTlcoRUBFRW8jxzzUh8dJYIyEz+5wWz6P71WMzA==" saltValue="q7efgTicJvyJWPVZGHkAK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49372294.729877874</v>
      </c>
      <c r="D9" s="8" t="s">
        <v>3</v>
      </c>
      <c r="E9" s="1"/>
    </row>
    <row r="10" spans="1:5" ht="15" customHeight="1" x14ac:dyDescent="0.25">
      <c r="A10" s="1"/>
      <c r="B10" s="47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7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972634.20617859403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-393218.39823615295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-146042.15025206126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-1244740.8150069881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48560927.572561264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Nøgletal'!C12)+'Fane 6. Ikke-påvirkelige omk.'!C19+'Fane 6. Ikke-påvirkelige omk.'!C27</f>
        <v>19005032.675504275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67565960.248065531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nENQrivOflm31LOZOTYao78MFNd+pUJtfrZSIUAMqWh79SIzJ+LUlCIzP5zjbYs+9GzxPnjYxXgbQqq3Sc1cFg==" saltValue="wzWWKS8VOiAy2Y7HlVNSM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48560927.572561264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956650.27317945682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-386756.38354295323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-145940.79699978634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-1233215.1623252474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47751665.502872728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Nøgletal'!C12)^2+'Fane 6. Ikke-påvirkelige omk.'!C20+'Fane 6. Ikke-påvirkelige omk.'!C28</f>
        <v>19379431.81921171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67131097.322084442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KhDZALh5iHM0CA8a8m+Xjy+HOpN4nP5+C34cMnmUjoU3iTVOXt7+T10Wsbj987djpmoERwjt83EXqT+qO/Bs9w==" saltValue="YjwXJFsxNRkN5x+EC+y/e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47751665.502872728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940707.81040659267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-380311.13451134146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-145839.51408666853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-1221796.231194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46944426.433487311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Nøgletal'!C12)^3+'Fane 6. Ikke-påvirkelige omk.'!C21+'Fane 6. Ikke-påvirkelige omk.'!C29</f>
        <v>19761206.626050178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66705633.059537485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X6MMtpnCg8QlbJdkdwYEZI8AWCwlj8QB1WOtmF94P21gpFDZAaDOmDFdRWrLMlHSeecq5uK+IqoJGjSxbhpZzQ==" saltValue="hBRivLJapLu8bKSnDWXDQ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243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48993338.621928714</v>
      </c>
      <c r="F9" s="8" t="s">
        <v>3</v>
      </c>
      <c r="G9" s="1"/>
    </row>
    <row r="10" spans="1:7" ht="15" customHeight="1" x14ac:dyDescent="0.25">
      <c r="A10" s="1"/>
      <c r="B10" s="94" t="s">
        <v>64</v>
      </c>
      <c r="C10" s="95"/>
      <c r="D10" s="96"/>
      <c r="E10" s="7">
        <v>0</v>
      </c>
      <c r="F10" s="8" t="s">
        <v>3</v>
      </c>
      <c r="G10" s="1"/>
    </row>
    <row r="11" spans="1:7" ht="15" customHeight="1" x14ac:dyDescent="0.25">
      <c r="A11" s="1"/>
      <c r="B11" s="94" t="s">
        <v>65</v>
      </c>
      <c r="C11" s="95"/>
      <c r="D11" s="96"/>
      <c r="E11" s="9">
        <v>354901.57013735332</v>
      </c>
      <c r="F11" s="8" t="s">
        <v>3</v>
      </c>
      <c r="G11" s="1"/>
    </row>
    <row r="12" spans="1:7" ht="15" customHeight="1" x14ac:dyDescent="0.25">
      <c r="A12" s="1"/>
      <c r="B12" s="94" t="s">
        <v>42</v>
      </c>
      <c r="C12" s="95"/>
      <c r="D12" s="96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863381.26241907384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-12436.680969325897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-144220.02701032971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-764085.9905801639</v>
      </c>
      <c r="F19" s="8" t="s">
        <v>3</v>
      </c>
      <c r="G19" s="1"/>
    </row>
    <row r="20" spans="1:7" ht="15" customHeight="1" x14ac:dyDescent="0.25">
      <c r="A20" s="1"/>
      <c r="B20" s="48" t="s">
        <v>29</v>
      </c>
      <c r="C20" s="49"/>
      <c r="D20" s="50"/>
      <c r="E20" s="10">
        <f>SUM(E9:E19)</f>
        <v>49290878.75592532</v>
      </c>
      <c r="F20" s="11" t="s">
        <v>3</v>
      </c>
      <c r="G20" s="1"/>
    </row>
    <row r="21" spans="1:7" ht="15" customHeight="1" x14ac:dyDescent="0.25">
      <c r="A21" s="1"/>
      <c r="B21" s="84" t="s">
        <v>145</v>
      </c>
      <c r="C21" s="85"/>
      <c r="D21" s="85"/>
      <c r="E21" s="85"/>
      <c r="F21" s="8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0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18840324.732970566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94766.394993188049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0</v>
      </c>
      <c r="F30" s="11" t="s">
        <v>3</v>
      </c>
      <c r="G30" s="1"/>
    </row>
    <row r="31" spans="1:7" x14ac:dyDescent="0.25">
      <c r="A31" s="1"/>
      <c r="B31" s="84" t="s">
        <v>24</v>
      </c>
      <c r="C31" s="85"/>
      <c r="D31" s="86"/>
      <c r="E31" s="12">
        <f>SUM(E30,E28,E26,E20,E24)</f>
        <v>68225969.883889079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o15z1R6ra2r1/UAtt7VeY2VO5BhX5Sh2csTsHbJO3mMRpd6L7eGBwUpdsP+mH7VDSgRMPZctHwnCkslcRdCcEg==" saltValue="1BzkNedkkkcqnppGkpCFtA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84" t="s">
        <v>94</v>
      </c>
      <c r="C5" s="85"/>
      <c r="D5" s="85"/>
      <c r="E5" s="85"/>
      <c r="F5" s="85"/>
      <c r="G5" s="85"/>
      <c r="H5" s="8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7252280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0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145045.6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4" t="s">
        <v>95</v>
      </c>
      <c r="C11" s="85"/>
      <c r="D11" s="85"/>
      <c r="E11" s="85"/>
      <c r="F11" s="85"/>
      <c r="G11" s="85"/>
      <c r="H11" s="8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7231611.0020000013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0.44112940208520746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0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144632.22886258806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4" t="s">
        <v>96</v>
      </c>
      <c r="C19" s="85"/>
      <c r="D19" s="85"/>
      <c r="E19" s="85"/>
      <c r="F19" s="85"/>
      <c r="G19" s="85"/>
      <c r="H19" s="8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7211001.3505164851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144220.02701032971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4" t="s">
        <v>97</v>
      </c>
      <c r="C25" s="85"/>
      <c r="D25" s="85"/>
      <c r="E25" s="85"/>
      <c r="F25" s="85"/>
      <c r="G25" s="85"/>
      <c r="H25" s="8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7205996.9155792268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101181.77903790001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146143.57389234254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4" t="s">
        <v>100</v>
      </c>
      <c r="C31" s="85"/>
      <c r="D31" s="85"/>
      <c r="E31" s="85"/>
      <c r="F31" s="85"/>
      <c r="G31" s="85"/>
      <c r="H31" s="8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7302107.5126030631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146042.15025206126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4" t="s">
        <v>127</v>
      </c>
      <c r="C37" s="85"/>
      <c r="D37" s="85"/>
      <c r="E37" s="85"/>
      <c r="F37" s="85"/>
      <c r="G37" s="85"/>
      <c r="H37" s="8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7297039.8499893174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145940.79699978634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4" t="s">
        <v>128</v>
      </c>
      <c r="C43" s="85"/>
      <c r="D43" s="85"/>
      <c r="E43" s="85"/>
      <c r="F43" s="85"/>
      <c r="G43" s="85"/>
      <c r="H43" s="8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7291975.7043334255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145839.51408666853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dyMiRjNMeU28U6oBvsDJT72WuVouvqEE0nxklefNqRWRwoR/4E5VM0X7RIsGIEN7tus9g+S5Zy8J5xdjGpQfg==" saltValue="cREabCxb6xQwrhfF/lQpXg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84" t="s">
        <v>98</v>
      </c>
      <c r="C4" s="85"/>
      <c r="D4" s="85"/>
      <c r="E4" s="85"/>
      <c r="F4" s="85"/>
      <c r="G4" s="85"/>
      <c r="H4" s="8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42729460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388838.08600000001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4" t="s">
        <v>106</v>
      </c>
      <c r="C9" s="85"/>
      <c r="D9" s="85"/>
      <c r="E9" s="85"/>
      <c r="F9" s="85"/>
      <c r="G9" s="85"/>
      <c r="H9" s="8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43081582.797495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-68348.002068683752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761334.25587904581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4" t="s">
        <v>110</v>
      </c>
      <c r="C16" s="85"/>
      <c r="D16" s="85"/>
      <c r="E16" s="85"/>
      <c r="F16" s="85"/>
      <c r="G16" s="85"/>
      <c r="H16" s="8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42991308.798989356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360899.40667267452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764085.9905801639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4" t="s">
        <v>114</v>
      </c>
      <c r="C22" s="85"/>
      <c r="D22" s="85"/>
      <c r="E22" s="85"/>
      <c r="F22" s="85"/>
      <c r="G22" s="85"/>
      <c r="H22" s="8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43427108.222718976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811419.4766081667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1256374.1866608909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4" t="s">
        <v>118</v>
      </c>
      <c r="C28" s="85"/>
      <c r="D28" s="85"/>
      <c r="E28" s="85"/>
      <c r="F28" s="85"/>
      <c r="G28" s="85"/>
      <c r="H28" s="8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43828901.936865777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1244740.8150069881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4" t="s">
        <v>129</v>
      </c>
      <c r="C34" s="85"/>
      <c r="D34" s="85"/>
      <c r="E34" s="85"/>
      <c r="F34" s="85"/>
      <c r="G34" s="85"/>
      <c r="H34" s="8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43423069.09595941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1233215.1623252474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4" t="s">
        <v>130</v>
      </c>
      <c r="C40" s="85"/>
      <c r="D40" s="85"/>
      <c r="E40" s="85"/>
      <c r="F40" s="85"/>
      <c r="G40" s="85"/>
      <c r="H40" s="8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43020994.056126758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1221796.231194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3pSPuOmp2/6kMaZwu/mffDCO8visa0IAUz7m169Nfr4+Q6EfdxyJKpa2wfS7Dvwv0FmfHgVw/ThBXokqO0ZuIA==" saltValue="GN1BNsG5Em/hc1o+Cmrejw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10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6.5513605196243782E-3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2.4768530888012166E-4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7.8104867073222626E-3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BLeYGPS0YcAr3fyqU8F6C/VwzGhCflAKMoZoW7XuHc3+zOgFmB4khkpqPBFAckssECkeWW+wEOY/EyiXmIY6Gg==" saltValue="OZ72rl4u5rz1kAX+Z9hOw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2019-10-08T09:41:57Z</dcterms:modified>
</cp:coreProperties>
</file>