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TK Kloak AS (S04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externalReferences>
    <externalReference r:id="rId21"/>
  </externalReferences>
  <definedNames>
    <definedName name="GenereltKravDrift2019">'[1]Fane 5. Generelt eff. krav'!$G$18</definedName>
    <definedName name="IndividueltKrav">'[1]Fane 11. Nøgletal'!$F$14</definedName>
  </definedNames>
  <calcPr calcId="162913"/>
</workbook>
</file>

<file path=xl/calcChain.xml><?xml version="1.0" encoding="utf-8"?>
<calcChain xmlns="http://schemas.openxmlformats.org/spreadsheetml/2006/main">
  <c r="E31" i="27" l="1"/>
  <c r="E30" i="27"/>
  <c r="E28" i="27"/>
  <c r="G21" i="30"/>
  <c r="G22" i="30"/>
  <c r="E18" i="27" s="1"/>
  <c r="E16" i="27" l="1"/>
  <c r="G20" i="30"/>
  <c r="E19" i="40" l="1"/>
  <c r="E16" i="40" l="1"/>
  <c r="E12" i="40"/>
  <c r="G8" i="30" l="1"/>
  <c r="E23" i="27" l="1"/>
  <c r="E24" i="27" s="1"/>
  <c r="E36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E19" i="27" l="1"/>
  <c r="G23" i="36"/>
  <c r="G26" i="30" l="1"/>
  <c r="E17" i="27"/>
  <c r="E20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6" i="19"/>
  <c r="C17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C35" i="2" s="1"/>
  <c r="G29" i="36"/>
  <c r="G31" i="36" s="1"/>
  <c r="C9" i="15" l="1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<sst xmlns="http://schemas.openxmlformats.org/spreadsheetml/2006/main" count="680" uniqueCount="270">
  <si>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</si>
  <si>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</si>
  <si>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</si>
  <si>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</si>
  <si>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</si>
  <si>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</si>
  <si>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</si>
  <si>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</si>
  <si>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</si>
  <si>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</si>
  <si>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</si>
  <si>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</si>
  <si>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</si>
  <si>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</si>
  <si>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</si>
  <si>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</si>
  <si>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</si>
  <si>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</si>
  <si>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</si>
  <si>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</si>
  <si>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</si>
  <si>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</si>
  <si>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</si>
  <si>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</si>
  <si>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</si>
  <si>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</si>
  <si>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</si>
  <si>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</si>
  <si>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</si>
  <si>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</si>
  <si>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</si>
  <si>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</si>
  <si>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</si>
  <si>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</si>
  <si>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</si>
  <si>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</si>
  <si>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</si>
  <si>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</si>
  <si>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</si>
  <si>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</si>
  <si>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</si>
  <si>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</si>
  <si>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</si>
  <si>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</si>
  <si>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</si>
  <si>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</si>
  <si>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</si>
  <si>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</si>
  <si>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</si>
  <si>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</si>
  <si>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</si>
  <si>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</si>
  <si>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</si>
  <si>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</si>
  <si>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</si>
  <si>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</si>
  <si>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</si>
  <si>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</si>
  <si>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</si>
  <si>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</si>
  <si>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</si>
  <si>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</si>
  <si>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</si>
  <si>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</si>
  <si>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</si>
  <si>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</si>
  <si>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</si>
  <si>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</si>
  <si>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</si>
  <si>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</si>
  <si>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</si>
  <si>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</si>
  <si>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</si>
  <si>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</si>
  <si>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</si>
  <si>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</si>
  <si>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</si>
  <si>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</si>
  <si>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</si>
  <si>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</si>
  <si>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</si>
  <si>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</si>
  <si>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</si>
  <si>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</si>
  <si>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</si>
  <si>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</si>
  <si>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</si>
  <si>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</si>
  <si>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</si>
  <si>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</si>
  <si>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</si>
  <si>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</si>
  <si>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</si>
  <si>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</si>
  <si>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</si>
  <si>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</si>
  <si>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</si>
  <si>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</si>
  <si>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</si>
  <si>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</si>
  <si>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</si>
  <si>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</si>
  <si>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</si>
  <si>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</si>
  <si>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</si>
  <si>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</si>
  <si>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</si>
  <si>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</si>
  <si>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</si>
  <si>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</si>
  <si>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</si>
  <si>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</si>
  <si>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</si>
  <si>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</si>
  <si>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</si>
  <si>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</si>
  <si>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</si>
  <si>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</si>
  <si>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</si>
  <si>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</si>
  <si>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</si>
  <si>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</si>
  <si>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</si>
  <si>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</si>
  <si>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</si>
  <si>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</si>
  <si>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</si>
  <si>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</si>
  <si>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</si>
  <si>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</si>
  <si>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</si>
  <si>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</si>
  <si>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</si>
  <si>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</si>
  <si>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</si>
  <si>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</si>
  <si>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</si>
  <si>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</si>
  <si>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</si>
  <si>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</si>
  <si>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</si>
  <si>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</si>
  <si>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</si>
  <si>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</si>
  <si>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</si>
  <si>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</si>
  <si>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</si>
  <si>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</si>
  <si>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</si>
  <si>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</si>
  <si>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</si>
  <si>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</si>
  <si>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</si>
  <si>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</si>
  <si>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</si>
  <si>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</si>
  <si>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</si>
  <si>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</si>
  <si>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</si>
  <si>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</si>
  <si>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</si>
  <si>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</si>
  <si>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</si>
  <si>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</si>
  <si>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</si>
  <si>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</si>
  <si>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</si>
  <si>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</si>
  <si>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</si>
  <si>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</si>
  <si>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</si>
  <si>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</si>
  <si>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</si>
  <si>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</si>
  <si>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</si>
  <si>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</si>
  <si>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</si>
  <si>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</si>
  <si>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</si>
  <si>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</si>
  <si>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</si>
  <si>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</si>
  <si>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</si>
  <si>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</si>
  <si>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</si>
  <si>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</si>
  <si>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</si>
  <si>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</si>
  <si>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</si>
  <si>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</si>
  <si>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</si>
  <si>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</si>
  <si>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</si>
  <si>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</si>
  <si>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</si>
  <si>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</si>
  <si>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</si>
  <si>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</si>
  <si>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</si>
  <si>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</si>
  <si>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</si>
  <si>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</si>
  <si>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</si>
  <si>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</si>
  <si>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</si>
  <si>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</si>
  <si>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</si>
  <si>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</si>
  <si>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</si>
  <si>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</si>
  <si>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</si>
  <si>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</si>
  <si>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</si>
  <si>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</si>
  <si>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</si>
  <si>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</si>
  <si>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</si>
  <si>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</si>
  <si>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</si>
  <si>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</si>
  <si>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</si>
  <si>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</si>
  <si>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</si>
  <si>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</si>
  <si>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</si>
  <si>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</si>
  <si>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</si>
  <si>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</si>
  <si>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</si>
  <si>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</si>
  <si>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</si>
  <si>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</si>
  <si>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</si>
  <si>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</si>
  <si>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</si>
  <si>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</si>
  <si>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</si>
  <si>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</si>
  <si>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</si>
  <si>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</si>
  <si>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</si>
  <si>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</si>
  <si>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</si>
  <si>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</si>
  <si>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</si>
  <si>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</si>
  <si>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</si>
  <si>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</si>
  <si>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</si>
  <si>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</si>
  <si>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</si>
  <si>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</si>
  <si>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</si>
  <si>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</si>
  <si>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</si>
  <si>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</si>
  <si>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</si>
  <si>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</si>
  <si>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</si>
  <si>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</si>
  <si>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</si>
  <si>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</si>
  <si>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</si>
  <si>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</si>
  <si>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</si>
  <si>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Ingen engangstillæg</t>
  </si>
  <si>
    <t xml:space="preserve">Effektiviseringskrav </t>
  </si>
  <si>
    <t>Ingen anlægsprojekter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</si>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</sst>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3" fontId="8" fillId="4" borderId="6" xfId="0" applyNumberFormat="1" applyFont="1" applyFill="1" applyBorder="1" applyProtection="1"/>
    <xf numFmtId="3" fontId="8" fillId="0" borderId="6" xfId="0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Spildevand/HTK%20Kloak%20AS%20(S049)/&#216;R2019/Bilag%20A%20-%20HTK%20Kloak%20AS%20(S049)%20-%20&#216;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19"/>
      <sheetName val="Fane 2.2. Økonomisk ramme 2020"/>
      <sheetName val="Fane 2.3. Økonomisk ramme 2021"/>
      <sheetName val="Fane 2.4. Økonomisk ramme 2022"/>
      <sheetName val="Fane 3. Omkostninger i ØR2018"/>
      <sheetName val="Fane 4. Ikke-påvirkelige omk."/>
      <sheetName val="Fane 5. Generelt eff. krav"/>
      <sheetName val="Fane 6. Hist. over el. underdæk"/>
      <sheetName val="Fane 7. Kontrol af ØR2017"/>
      <sheetName val="Fane 8. Anlægsprojekter"/>
      <sheetName val="Fane 9. Tillæg"/>
      <sheetName val="Fane 10. Bortfald"/>
      <sheetName val="Fane 11. Nøgle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G18">
            <v>0.02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4">
          <cell r="F14">
            <v>2.1208452675356361E-3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71" t="s">
        <v>172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52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23</v>
      </c>
      <c r="D14" s="60" t="s">
        <v>54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51</v>
      </c>
      <c r="D15" s="60" t="s">
        <v>135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53</v>
      </c>
      <c r="D16" s="60" t="s">
        <v>136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241</v>
      </c>
      <c r="D17" s="60" t="s">
        <v>63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212</v>
      </c>
      <c r="D18" s="72" t="s">
        <v>180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213</v>
      </c>
      <c r="D19" s="72" t="s">
        <v>181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214</v>
      </c>
      <c r="D21" s="64" t="s">
        <v>17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142</v>
      </c>
      <c r="D22" s="67" t="s">
        <v>176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249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9</v>
      </c>
      <c r="D24" s="67" t="s">
        <v>55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215</v>
      </c>
      <c r="D25" s="67" t="s">
        <v>143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216</v>
      </c>
      <c r="D26" s="67" t="s">
        <v>144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217</v>
      </c>
      <c r="D27" s="67" t="s">
        <v>145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22</v>
      </c>
      <c r="D28" s="67" t="s">
        <v>56</v>
      </c>
      <c r="E28" s="68"/>
      <c r="F28" s="68"/>
      <c r="G28" s="69"/>
      <c r="H28" s="1"/>
      <c r="I28" s="1"/>
    </row>
    <row r="29" spans="1:9" x14ac:dyDescent="0.25">
      <c r="A29" s="1"/>
      <c r="B29" s="1"/>
      <c r="C29" s="6" t="s">
        <v>58</v>
      </c>
      <c r="D29" s="67" t="s">
        <v>57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59</v>
      </c>
      <c r="D30" s="78" t="s">
        <v>11</v>
      </c>
      <c r="E30" s="79"/>
      <c r="F30" s="79"/>
      <c r="G30" s="80"/>
      <c r="H30" s="1"/>
      <c r="I30" s="1"/>
    </row>
    <row r="31" spans="1:9" x14ac:dyDescent="0.25">
      <c r="A31" s="1"/>
      <c r="B31" s="1"/>
      <c r="C31" s="6" t="s">
        <v>175</v>
      </c>
      <c r="D31" s="75" t="s">
        <v>207</v>
      </c>
      <c r="E31" s="76"/>
      <c r="F31" s="76"/>
      <c r="G31" s="77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fR+t5OELMhqj3uYuiTGhDGlGZOl9oPc7+vhxG79tl+TBlo/AIjnZQMGDjM28lBn3dIuz/KFRxdHDnboYw6zw5w==" saltValue="Jrl1davCv4Rias1bzspTU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1" t="s">
        <v>220</v>
      </c>
      <c r="C3" s="81"/>
      <c r="D3" s="81"/>
      <c r="E3" s="1"/>
      <c r="F3" s="1"/>
    </row>
    <row r="4" spans="1:6" ht="15" customHeight="1" x14ac:dyDescent="0.25">
      <c r="A4" s="1"/>
      <c r="B4" s="81"/>
      <c r="C4" s="81"/>
      <c r="D4" s="8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66</v>
      </c>
      <c r="C8" s="97"/>
      <c r="D8" s="98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7" t="s">
        <v>259</v>
      </c>
      <c r="C10" s="9">
        <v>145886</v>
      </c>
      <c r="D10" s="14" t="s">
        <v>3</v>
      </c>
      <c r="E10" s="1"/>
      <c r="F10" s="1"/>
    </row>
    <row r="11" spans="1:6" x14ac:dyDescent="0.25">
      <c r="A11" s="1"/>
      <c r="B11" s="57" t="s">
        <v>260</v>
      </c>
      <c r="C11" s="9">
        <v>53063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16707634</v>
      </c>
      <c r="D12" s="14" t="s">
        <v>3</v>
      </c>
      <c r="E12" s="1"/>
      <c r="F12" s="1"/>
    </row>
    <row r="13" spans="1:6" x14ac:dyDescent="0.25">
      <c r="A13" s="1"/>
      <c r="B13" s="57" t="s">
        <v>262</v>
      </c>
      <c r="C13" s="9">
        <v>504186</v>
      </c>
      <c r="D13" s="14" t="s">
        <v>3</v>
      </c>
      <c r="E13" s="1"/>
      <c r="F13" s="1"/>
    </row>
    <row r="14" spans="1:6" x14ac:dyDescent="0.25">
      <c r="A14" s="1"/>
      <c r="B14" s="57" t="s">
        <v>263</v>
      </c>
      <c r="C14" s="9">
        <v>17746.16</v>
      </c>
      <c r="D14" s="14" t="s">
        <v>3</v>
      </c>
      <c r="E14" s="1"/>
      <c r="F14" s="1"/>
    </row>
    <row r="15" spans="1:6" x14ac:dyDescent="0.25">
      <c r="A15" s="1"/>
      <c r="B15" s="57" t="s">
        <v>264</v>
      </c>
      <c r="C15" s="9">
        <v>108058.83</v>
      </c>
      <c r="D15" s="14" t="s">
        <v>3</v>
      </c>
      <c r="E15" s="1"/>
      <c r="F15" s="1"/>
    </row>
    <row r="16" spans="1:6" x14ac:dyDescent="0.25">
      <c r="A16" s="1"/>
      <c r="B16" s="40" t="s">
        <v>68</v>
      </c>
      <c r="C16" s="12">
        <f>SUM(C10:C15)</f>
        <v>17536573.989999998</v>
      </c>
      <c r="D16" s="13" t="s">
        <v>3</v>
      </c>
      <c r="E16" s="1"/>
      <c r="F16" s="1"/>
    </row>
    <row r="17" spans="1:6" x14ac:dyDescent="0.25">
      <c r="A17" s="1"/>
      <c r="B17" s="40" t="s">
        <v>69</v>
      </c>
      <c r="C17" s="12">
        <f>C16*(1+'Fane 15. Nøgletal'!C12)^2</f>
        <v>18234320.774205778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6" t="s">
        <v>236</v>
      </c>
      <c r="C20" s="97"/>
      <c r="D20" s="98"/>
      <c r="E20" s="1"/>
      <c r="F20" s="1"/>
    </row>
    <row r="21" spans="1:6" x14ac:dyDescent="0.25">
      <c r="A21" s="1"/>
      <c r="B21" s="57" t="s">
        <v>197</v>
      </c>
      <c r="C21" s="9">
        <v>312607</v>
      </c>
      <c r="D21" s="14" t="s">
        <v>3</v>
      </c>
      <c r="E21" s="1"/>
      <c r="F21" s="1"/>
    </row>
    <row r="22" spans="1:6" x14ac:dyDescent="0.25">
      <c r="A22" s="1"/>
      <c r="B22" s="57" t="s">
        <v>198</v>
      </c>
      <c r="C22" s="9">
        <v>313047</v>
      </c>
      <c r="D22" s="14" t="s">
        <v>3</v>
      </c>
      <c r="E22" s="1"/>
      <c r="F22" s="1"/>
    </row>
    <row r="23" spans="1:6" x14ac:dyDescent="0.25">
      <c r="A23" s="1"/>
      <c r="B23" s="57" t="s">
        <v>199</v>
      </c>
      <c r="C23" s="9">
        <v>313495</v>
      </c>
      <c r="D23" s="14" t="s">
        <v>3</v>
      </c>
      <c r="E23" s="1"/>
      <c r="F23" s="1"/>
    </row>
    <row r="24" spans="1:6" x14ac:dyDescent="0.25">
      <c r="A24" s="1"/>
      <c r="B24" s="57" t="s">
        <v>200</v>
      </c>
      <c r="C24" s="9">
        <v>313949</v>
      </c>
      <c r="D24" s="14" t="s">
        <v>3</v>
      </c>
      <c r="E24" s="1"/>
      <c r="F24" s="1"/>
    </row>
    <row r="25" spans="1:6" x14ac:dyDescent="0.25">
      <c r="A25" s="1"/>
      <c r="B25" s="96"/>
      <c r="C25" s="97"/>
      <c r="D25" s="9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6" t="s">
        <v>196</v>
      </c>
      <c r="C28" s="97"/>
      <c r="D28" s="98"/>
      <c r="E28" s="1"/>
      <c r="F28" s="1"/>
    </row>
    <row r="29" spans="1:6" x14ac:dyDescent="0.25">
      <c r="A29" s="1"/>
      <c r="B29" s="57" t="s">
        <v>197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7" t="s">
        <v>198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7" t="s">
        <v>199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7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6"/>
      <c r="C33" s="97"/>
      <c r="D33" s="9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w/h1zcDrikOeyQeGpO5Az4oE4h5SJttZrS5P/9I4hbWkH21kDNB7Fynh6hHWFz9dmR5+yYRL5YNxrN8ynKj9/Q==" saltValue="w2TVJxiricdPiefdDuR2cg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226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183</v>
      </c>
      <c r="C8" s="97"/>
      <c r="D8" s="97"/>
      <c r="E8" s="97"/>
      <c r="F8" s="98"/>
      <c r="G8" s="1"/>
    </row>
    <row r="9" spans="1:7" x14ac:dyDescent="0.25">
      <c r="A9" s="1"/>
      <c r="B9" s="102" t="s">
        <v>184</v>
      </c>
      <c r="C9" s="103"/>
      <c r="D9" s="104"/>
      <c r="E9" s="9">
        <v>73536123.011761397</v>
      </c>
      <c r="F9" s="14" t="s">
        <v>3</v>
      </c>
      <c r="G9" s="1"/>
    </row>
    <row r="10" spans="1:7" x14ac:dyDescent="0.25">
      <c r="A10" s="1"/>
      <c r="B10" s="102" t="s">
        <v>185</v>
      </c>
      <c r="C10" s="103"/>
      <c r="D10" s="104"/>
      <c r="E10" s="9">
        <v>37470670.829999998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90" t="s">
        <v>186</v>
      </c>
      <c r="C12" s="91"/>
      <c r="D12" s="92"/>
      <c r="E12" s="10">
        <f>E9-(E10-E11)</f>
        <v>36065452.181761399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3" t="s">
        <v>208</v>
      </c>
      <c r="C14" s="84"/>
      <c r="D14" s="84"/>
      <c r="E14" s="84"/>
      <c r="F14" s="85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6" t="s">
        <v>73</v>
      </c>
      <c r="C17" s="97"/>
      <c r="D17" s="97"/>
      <c r="E17" s="97"/>
      <c r="F17" s="98"/>
      <c r="G17" s="1"/>
    </row>
    <row r="18" spans="1:7" x14ac:dyDescent="0.25">
      <c r="A18" s="1"/>
      <c r="B18" s="102" t="s">
        <v>74</v>
      </c>
      <c r="C18" s="103"/>
      <c r="D18" s="104"/>
      <c r="E18" s="9">
        <v>91018663.432076856</v>
      </c>
      <c r="F18" s="14" t="s">
        <v>3</v>
      </c>
      <c r="G18" s="1"/>
    </row>
    <row r="19" spans="1:7" x14ac:dyDescent="0.25">
      <c r="A19" s="1"/>
      <c r="B19" s="102" t="s">
        <v>75</v>
      </c>
      <c r="C19" s="103"/>
      <c r="D19" s="104"/>
      <c r="E19" s="9">
        <v>48164008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90" t="s">
        <v>76</v>
      </c>
      <c r="C21" s="91"/>
      <c r="D21" s="92"/>
      <c r="E21" s="10">
        <f>E18-(E19-E20)</f>
        <v>42854655.432076856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6" t="s">
        <v>179</v>
      </c>
      <c r="C25" s="97"/>
      <c r="D25" s="97"/>
      <c r="E25" s="97"/>
      <c r="F25" s="98"/>
      <c r="G25" s="1"/>
    </row>
    <row r="26" spans="1:7" x14ac:dyDescent="0.25">
      <c r="A26" s="1"/>
      <c r="B26" s="110" t="s">
        <v>174</v>
      </c>
      <c r="C26" s="111"/>
      <c r="D26" s="112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0" t="s">
        <v>204</v>
      </c>
      <c r="C27" s="111"/>
      <c r="D27" s="112"/>
      <c r="E27" s="9">
        <v>2</v>
      </c>
      <c r="F27" s="14" t="s">
        <v>28</v>
      </c>
      <c r="G27" s="1"/>
    </row>
    <row r="28" spans="1:7" x14ac:dyDescent="0.25">
      <c r="A28" s="1"/>
      <c r="B28" s="90" t="s">
        <v>251</v>
      </c>
      <c r="C28" s="91"/>
      <c r="D28" s="92"/>
      <c r="E28" s="10">
        <f>E26/E27</f>
        <v>0</v>
      </c>
      <c r="F28" s="17" t="s">
        <v>3</v>
      </c>
      <c r="G28" s="1"/>
    </row>
    <row r="29" spans="1:7" x14ac:dyDescent="0.25">
      <c r="A29" s="1"/>
      <c r="B29" s="113"/>
      <c r="C29" s="114"/>
      <c r="D29" s="114"/>
      <c r="E29" s="114"/>
      <c r="F29" s="115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Gc7R/LeS/31x4QgN0As+MLc889sz0capYftbIJEUCFJgxa5mA3q1EHXzrMCROTMO1FnUXvlJHVLHRKLR7mBHQg==" saltValue="fD0RJq2XSFPK1hp0tB9SP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252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177</v>
      </c>
      <c r="C9" s="97"/>
      <c r="D9" s="97"/>
      <c r="E9" s="97"/>
      <c r="F9" s="97"/>
      <c r="G9" s="1"/>
    </row>
    <row r="10" spans="1:7" x14ac:dyDescent="0.25">
      <c r="A10" s="1"/>
      <c r="B10" s="83" t="s">
        <v>201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102" t="s">
        <v>202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0" t="s">
        <v>203</v>
      </c>
      <c r="C12" s="91"/>
      <c r="D12" s="92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178</v>
      </c>
      <c r="C13" s="97"/>
      <c r="D13" s="97"/>
      <c r="E13" s="97"/>
      <c r="F13" s="97"/>
      <c r="G13" s="1"/>
    </row>
    <row r="14" spans="1:7" x14ac:dyDescent="0.25">
      <c r="A14" s="1"/>
      <c r="B14" s="102" t="s">
        <v>210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83" t="s">
        <v>211</v>
      </c>
      <c r="C15" s="84"/>
      <c r="D15" s="85"/>
      <c r="E15" s="9">
        <v>179667</v>
      </c>
      <c r="F15" s="8" t="s">
        <v>3</v>
      </c>
      <c r="G15" s="1"/>
    </row>
    <row r="16" spans="1:7" x14ac:dyDescent="0.25">
      <c r="A16" s="1"/>
      <c r="B16" s="90" t="s">
        <v>203</v>
      </c>
      <c r="C16" s="91"/>
      <c r="D16" s="92"/>
      <c r="E16" s="10">
        <f>E15-E14</f>
        <v>179667</v>
      </c>
      <c r="F16" s="11" t="s">
        <v>3</v>
      </c>
      <c r="G16" s="1"/>
    </row>
    <row r="17" spans="1:7" ht="15" customHeight="1" x14ac:dyDescent="0.25">
      <c r="A17" s="1"/>
      <c r="B17" s="96" t="s">
        <v>173</v>
      </c>
      <c r="C17" s="97"/>
      <c r="D17" s="97"/>
      <c r="E17" s="97"/>
      <c r="F17" s="97"/>
      <c r="G17" s="1"/>
    </row>
    <row r="18" spans="1:7" ht="28.15" customHeight="1" x14ac:dyDescent="0.25">
      <c r="A18" s="1"/>
      <c r="B18" s="83" t="s">
        <v>258</v>
      </c>
      <c r="C18" s="84"/>
      <c r="D18" s="85"/>
      <c r="E18" s="9">
        <v>0</v>
      </c>
      <c r="F18" s="8" t="s">
        <v>3</v>
      </c>
      <c r="G18" s="1"/>
    </row>
    <row r="19" spans="1:7" ht="29.25" customHeight="1" x14ac:dyDescent="0.25">
      <c r="A19" s="1"/>
      <c r="B19" s="93" t="s">
        <v>182</v>
      </c>
      <c r="C19" s="94"/>
      <c r="D19" s="95"/>
      <c r="E19" s="10">
        <f>IF('Fane 3. Omkostninger i ØR2019'!E33-'Fane 3. Omkostninger i ØR2019'!E33/(1+'Fane 15. Nøgletal'!C11)^2+E18&lt;0,-('Fane 3. Omkostninger i ØR2019'!E33-'Fane 3. Omkostninger i ØR2019'!E33/(1+'Fane 15. Nøgletal'!C11)^2+E18),0)</f>
        <v>6462.4611673651962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186129.4611673652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j4R6/mfZqbXXjDD4eC2sveKYGZaEN2EXj+ljWetFiA6lCHDhf2GJE5swzzoNF8RBvsrMG+Dr7tP78dp1Jvc3A==" saltValue="TK0+2gIjyBVxZZqjhlbRm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253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254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9" t="s">
        <v>267</v>
      </c>
      <c r="C10" s="48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6" t="s">
        <v>255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lL/Gbvqa3c/b9eH5ZuddFof/WY7Bo5WodANiZ7yCBoPmxwy3wQtlB/T33/BMhYPOuzICK6ti8MSxICE2YcXNQ==" saltValue="8AxISfTaqcZN30/LlB2YP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225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268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iZhOBLdIkWJU4Md9L/lDKm398uT0wtEKYwDBWQ+m0TtIvWiKtoyUt5S6ugeGQYFr8mUj1pFtMZpviQgdGL5Kg==" saltValue="UnW5fTfE4t+3qyum8akc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224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187</v>
      </c>
      <c r="C8" s="97"/>
      <c r="D8" s="97"/>
      <c r="E8" s="97"/>
      <c r="F8" s="98"/>
      <c r="G8" s="1"/>
    </row>
    <row r="9" spans="1:7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188</v>
      </c>
      <c r="C16" s="97"/>
      <c r="D16" s="97"/>
      <c r="E16" s="97"/>
      <c r="F16" s="98"/>
      <c r="G16" s="1"/>
    </row>
    <row r="17" spans="1:7" x14ac:dyDescent="0.25">
      <c r="A17" s="1"/>
      <c r="B17" s="53" t="s">
        <v>25</v>
      </c>
      <c r="C17" s="53" t="s">
        <v>16</v>
      </c>
      <c r="D17" s="54"/>
      <c r="E17" s="53" t="s">
        <v>48</v>
      </c>
      <c r="F17" s="39"/>
      <c r="G17" s="1"/>
    </row>
    <row r="18" spans="1:7" x14ac:dyDescent="0.25">
      <c r="A18" s="1"/>
      <c r="B18" s="27" t="s">
        <v>265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189</v>
      </c>
      <c r="C24" s="97"/>
      <c r="D24" s="97"/>
      <c r="E24" s="97"/>
      <c r="F24" s="98"/>
      <c r="G24" s="1"/>
    </row>
    <row r="25" spans="1:7" x14ac:dyDescent="0.25">
      <c r="A25" s="1"/>
      <c r="B25" s="53" t="s">
        <v>25</v>
      </c>
      <c r="C25" s="53" t="s">
        <v>16</v>
      </c>
      <c r="D25" s="54"/>
      <c r="E25" s="53" t="s">
        <v>48</v>
      </c>
      <c r="F25" s="39"/>
      <c r="G25" s="1"/>
    </row>
    <row r="26" spans="1:7" x14ac:dyDescent="0.25">
      <c r="A26" s="1"/>
      <c r="B26" s="27" t="s">
        <v>265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190</v>
      </c>
      <c r="C32" s="97"/>
      <c r="D32" s="97"/>
      <c r="E32" s="97"/>
      <c r="F32" s="98"/>
      <c r="G32" s="1"/>
    </row>
    <row r="33" spans="1:7" x14ac:dyDescent="0.25">
      <c r="A33" s="1"/>
      <c r="B33" s="53" t="s">
        <v>25</v>
      </c>
      <c r="C33" s="53" t="s">
        <v>16</v>
      </c>
      <c r="D33" s="54"/>
      <c r="E33" s="53" t="s">
        <v>48</v>
      </c>
      <c r="F33" s="39"/>
      <c r="G33" s="1"/>
    </row>
    <row r="34" spans="1:7" x14ac:dyDescent="0.25">
      <c r="A34" s="1"/>
      <c r="B34" s="27" t="s">
        <v>265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RzPcEn2fFQs5TbHfPcK5lZVPrn/gbfJ2wDJhyUedmUJK2O/sChF9hhPlJ9kuSEPtApYXMlCRJjVmMQLhc/DwQ==" saltValue="xEtES0my+mk/komT3C5X7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160</v>
      </c>
      <c r="C8" s="97"/>
      <c r="D8" s="97"/>
      <c r="E8" s="97"/>
      <c r="F8" s="98"/>
      <c r="G8" s="1"/>
    </row>
    <row r="9" spans="1:7" x14ac:dyDescent="0.25">
      <c r="A9" s="1"/>
      <c r="B9" s="116" t="s">
        <v>159</v>
      </c>
      <c r="C9" s="117"/>
      <c r="D9" s="118"/>
      <c r="E9" s="9">
        <v>91890.821887393104</v>
      </c>
      <c r="F9" s="14" t="s">
        <v>3</v>
      </c>
      <c r="G9" s="1"/>
    </row>
    <row r="10" spans="1:7" x14ac:dyDescent="0.25">
      <c r="A10" s="1"/>
      <c r="B10" s="87" t="s">
        <v>10</v>
      </c>
      <c r="C10" s="88"/>
      <c r="D10" s="89"/>
      <c r="E10" s="9">
        <f>-E9*'Fane 5. Individuelt eff. krav'!G11</f>
        <v>-776.65432009195717</v>
      </c>
      <c r="F10" s="14" t="s">
        <v>3</v>
      </c>
      <c r="G10" s="1"/>
    </row>
    <row r="11" spans="1:7" x14ac:dyDescent="0.25">
      <c r="A11" s="1"/>
      <c r="B11" s="87" t="s">
        <v>39</v>
      </c>
      <c r="C11" s="88"/>
      <c r="D11" s="89"/>
      <c r="E11" s="9">
        <f>-E9*'Fane 15. Nøgletal'!C25</f>
        <v>-1837.8164377478622</v>
      </c>
      <c r="F11" s="14" t="s">
        <v>3</v>
      </c>
      <c r="G11" s="1"/>
    </row>
    <row r="12" spans="1:7" x14ac:dyDescent="0.25">
      <c r="A12" s="1"/>
      <c r="B12" s="96" t="s">
        <v>164</v>
      </c>
      <c r="C12" s="97"/>
      <c r="D12" s="98"/>
      <c r="E12" s="12">
        <f>SUM(E9:E11)*(1+'Fane 15. Nøgletal'!C12)^2</f>
        <v>92828.486623167555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161</v>
      </c>
      <c r="C14" s="97"/>
      <c r="D14" s="97"/>
      <c r="E14" s="97"/>
      <c r="F14" s="98"/>
      <c r="G14" s="1"/>
    </row>
    <row r="15" spans="1:7" x14ac:dyDescent="0.25">
      <c r="A15" s="1"/>
      <c r="B15" s="116" t="s">
        <v>159</v>
      </c>
      <c r="C15" s="117"/>
      <c r="D15" s="118"/>
      <c r="E15" s="9">
        <v>0</v>
      </c>
      <c r="F15" s="14" t="s">
        <v>3</v>
      </c>
      <c r="G15" s="1"/>
    </row>
    <row r="16" spans="1:7" x14ac:dyDescent="0.25">
      <c r="A16" s="1"/>
      <c r="B16" s="87" t="s">
        <v>10</v>
      </c>
      <c r="C16" s="88"/>
      <c r="D16" s="89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7" t="s">
        <v>39</v>
      </c>
      <c r="C17" s="88"/>
      <c r="D17" s="89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6" t="s">
        <v>165</v>
      </c>
      <c r="C18" s="97"/>
      <c r="D18" s="98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162</v>
      </c>
      <c r="C20" s="97"/>
      <c r="D20" s="97"/>
      <c r="E20" s="97"/>
      <c r="F20" s="98"/>
      <c r="G20" s="1"/>
    </row>
    <row r="21" spans="1:7" x14ac:dyDescent="0.25">
      <c r="A21" s="1"/>
      <c r="B21" s="116" t="s">
        <v>159</v>
      </c>
      <c r="C21" s="117"/>
      <c r="D21" s="118"/>
      <c r="E21" s="9">
        <v>0</v>
      </c>
      <c r="F21" s="14" t="s">
        <v>3</v>
      </c>
      <c r="G21" s="1"/>
    </row>
    <row r="22" spans="1:7" x14ac:dyDescent="0.25">
      <c r="A22" s="1"/>
      <c r="B22" s="87" t="s">
        <v>10</v>
      </c>
      <c r="C22" s="88"/>
      <c r="D22" s="89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7" t="s">
        <v>39</v>
      </c>
      <c r="C23" s="88"/>
      <c r="D23" s="89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6" t="s">
        <v>166</v>
      </c>
      <c r="C24" s="97"/>
      <c r="D24" s="98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163</v>
      </c>
      <c r="C26" s="97"/>
      <c r="D26" s="97"/>
      <c r="E26" s="97"/>
      <c r="F26" s="98"/>
      <c r="G26" s="1"/>
    </row>
    <row r="27" spans="1:7" x14ac:dyDescent="0.25">
      <c r="A27" s="1"/>
      <c r="B27" s="116" t="s">
        <v>159</v>
      </c>
      <c r="C27" s="117"/>
      <c r="D27" s="118"/>
      <c r="E27" s="9">
        <v>0</v>
      </c>
      <c r="F27" s="14" t="s">
        <v>3</v>
      </c>
      <c r="G27" s="1"/>
    </row>
    <row r="28" spans="1:7" x14ac:dyDescent="0.25">
      <c r="A28" s="1"/>
      <c r="B28" s="87" t="s">
        <v>10</v>
      </c>
      <c r="C28" s="88"/>
      <c r="D28" s="89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7" t="s">
        <v>39</v>
      </c>
      <c r="C29" s="88"/>
      <c r="D29" s="89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6" t="s">
        <v>167</v>
      </c>
      <c r="C30" s="97"/>
      <c r="D30" s="98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6OCgxB7prAfoTRKQRErZ+675FZnssfnkhbjlSTZGXqzKdNp67o31CoEAClHu7Y0tsYUkunt8bGp66PdAhk+Xyg==" saltValue="SaAgPtouT6BLCewWIHFXm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223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32</v>
      </c>
      <c r="C8" s="97"/>
      <c r="D8" s="97"/>
      <c r="E8" s="97"/>
      <c r="F8" s="98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aQAvE53u74jt/fV1x6N0MHCHr3yEpin+gP8fv3q2X4PrUVR2zDMvnM/RRB7Q6jaPps31lGGow+C1yTigCfORw==" saltValue="PrIVC3c9jUevmwL3g1s+Y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222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169</v>
      </c>
      <c r="C8" s="97"/>
      <c r="D8" s="97"/>
      <c r="E8" s="97"/>
      <c r="F8" s="98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170</v>
      </c>
      <c r="C14" s="97"/>
      <c r="D14" s="97"/>
      <c r="E14" s="97"/>
      <c r="F14" s="98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168</v>
      </c>
      <c r="C20" s="97"/>
      <c r="D20" s="97"/>
      <c r="E20" s="97"/>
      <c r="F20" s="98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171</v>
      </c>
      <c r="C26" s="97"/>
      <c r="D26" s="97"/>
      <c r="E26" s="97"/>
      <c r="F26" s="98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FesnPQEP7s0dyAm51MFOfyOscWJ+inT65Uaz0/krQdJw1t5n8NAr1fbCqoS7+ZpK1oPBxOWOYiyYgKsyF0VKQ==" saltValue="W2+/MV8Z5+jffwmC+eXLP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221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18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36656080</v>
      </c>
      <c r="H9" s="14" t="s">
        <v>3</v>
      </c>
      <c r="I9" s="1"/>
    </row>
    <row r="10" spans="1:9" x14ac:dyDescent="0.25">
      <c r="A10" s="1"/>
      <c r="B10" s="102" t="s">
        <v>137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77</v>
      </c>
      <c r="C11" s="103"/>
      <c r="D11" s="103"/>
      <c r="E11" s="103"/>
      <c r="F11" s="104"/>
      <c r="G11" s="9">
        <v>-32924980.621693123</v>
      </c>
      <c r="H11" s="14" t="s">
        <v>3</v>
      </c>
      <c r="I11" s="1"/>
    </row>
    <row r="12" spans="1:9" x14ac:dyDescent="0.25">
      <c r="A12" s="1"/>
      <c r="B12" s="119" t="s">
        <v>15</v>
      </c>
      <c r="C12" s="120"/>
      <c r="D12" s="120"/>
      <c r="E12" s="120"/>
      <c r="F12" s="121"/>
      <c r="G12" s="19">
        <f>(G9+G10)+G11</f>
        <v>3731099.3783068769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28</v>
      </c>
      <c r="I13" s="1"/>
    </row>
    <row r="14" spans="1:9" x14ac:dyDescent="0.25">
      <c r="A14" s="1"/>
      <c r="B14" s="96" t="s">
        <v>138</v>
      </c>
      <c r="C14" s="97"/>
      <c r="D14" s="97"/>
      <c r="E14" s="97"/>
      <c r="F14" s="98"/>
      <c r="G14" s="12">
        <f>IF(G13 = 0,0,-G12/G13)</f>
        <v>-3731099.3783068769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qwOOFRjiQNX3Ykwom4QDND/syjdnss3DbIbTkdEj4udT5Vdz6Yamc1uePTBT9Ut+1YfXIFdQTQ9BdIABn/FYA==" saltValue="o7HVGhCbhqA2B0XoEm7se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62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50639632.666697919</v>
      </c>
      <c r="D9" s="8" t="s">
        <v>3</v>
      </c>
      <c r="E9" s="1"/>
    </row>
    <row r="10" spans="1:5" ht="17.100000000000001" customHeight="1" x14ac:dyDescent="0.25">
      <c r="A10" s="1"/>
      <c r="B10" s="56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6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6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6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6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6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6" t="s">
        <v>27</v>
      </c>
      <c r="C16" s="9">
        <f>SUM(C9:C15)*'Fane 15. Nøgletal'!C12</f>
        <v>997600.76353394892</v>
      </c>
      <c r="D16" s="8" t="s">
        <v>3</v>
      </c>
      <c r="E16" s="1"/>
    </row>
    <row r="17" spans="1:5" ht="17.100000000000001" customHeight="1" x14ac:dyDescent="0.25">
      <c r="A17" s="1"/>
      <c r="B17" s="56" t="s">
        <v>10</v>
      </c>
      <c r="C17" s="9">
        <f>-SUM(C9:C16)*'Fane 5. Individuelt eff. krav'!G11</f>
        <v>-436434.01590565697</v>
      </c>
      <c r="D17" s="8" t="s">
        <v>3</v>
      </c>
      <c r="E17" s="1"/>
    </row>
    <row r="18" spans="1:5" ht="17.100000000000001" customHeight="1" x14ac:dyDescent="0.25">
      <c r="A18" s="1"/>
      <c r="B18" s="56" t="s">
        <v>39</v>
      </c>
      <c r="C18" s="9">
        <f>-'Fane 4.1. Gen. krav - drift'!G28</f>
        <v>-232843.09671149545</v>
      </c>
      <c r="D18" s="8" t="s">
        <v>3</v>
      </c>
      <c r="E18" s="1"/>
    </row>
    <row r="19" spans="1:5" ht="17.100000000000001" customHeight="1" x14ac:dyDescent="0.25">
      <c r="A19" s="1"/>
      <c r="B19" s="56" t="s">
        <v>40</v>
      </c>
      <c r="C19" s="9">
        <f>-'Fane 4.2. Gen. krav - anlæg'!G25</f>
        <v>-1146945.1541623652</v>
      </c>
      <c r="D19" s="8" t="s">
        <v>3</v>
      </c>
      <c r="E19" s="1"/>
    </row>
    <row r="20" spans="1:5" ht="17.100000000000001" customHeight="1" x14ac:dyDescent="0.25">
      <c r="A20" s="1"/>
      <c r="B20" s="50" t="s">
        <v>29</v>
      </c>
      <c r="C20" s="10">
        <f>SUM(C9:C19)</f>
        <v>49821011.163452357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omk.'!C17+'Fane 6. Ikke-påvirkelige omk.'!C21+'Fane 6. Ikke-påvirkelige omk.'!C29</f>
        <v>18546927.774205778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0" t="s">
        <v>145</v>
      </c>
      <c r="C24" s="10">
        <f>'Fane 11. Periodevise driftsomk.'!E12</f>
        <v>92828.486623167555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6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6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-3731099.3783068769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186129.4611673652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64915797.507141791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bryEECjzn2cJGTg41jM6cCZxEdlgX62b9hAG+3oOUKFzE8F6cSTAo6SpX7Wh8FZ3iBfARFA0rW0kaMnvAhWDUA==" saltValue="iCx3g3AUjrJIRfOhxrpxl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248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7" t="s">
        <v>228</v>
      </c>
      <c r="C9" s="28">
        <v>1.2699999999999999E-2</v>
      </c>
      <c r="D9" s="1"/>
    </row>
    <row r="10" spans="1:4" x14ac:dyDescent="0.25">
      <c r="A10" s="1"/>
      <c r="B10" s="57" t="s">
        <v>229</v>
      </c>
      <c r="C10" s="28">
        <v>1.7500000000000002E-2</v>
      </c>
      <c r="D10" s="1"/>
    </row>
    <row r="11" spans="1:4" x14ac:dyDescent="0.25">
      <c r="A11" s="1"/>
      <c r="B11" s="57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7" t="s">
        <v>231</v>
      </c>
      <c r="C17" s="25">
        <v>9.1000000000000004E-3</v>
      </c>
      <c r="D17" s="1"/>
    </row>
    <row r="18" spans="1:4" x14ac:dyDescent="0.25">
      <c r="A18" s="1"/>
      <c r="B18" s="57" t="s">
        <v>232</v>
      </c>
      <c r="C18" s="25">
        <v>1.77E-2</v>
      </c>
      <c r="D18" s="1"/>
    </row>
    <row r="19" spans="1:4" x14ac:dyDescent="0.25">
      <c r="A19" s="1"/>
      <c r="B19" s="57" t="s">
        <v>233</v>
      </c>
      <c r="C19" s="25">
        <v>8.6999999999999994E-3</v>
      </c>
      <c r="D19" s="1"/>
    </row>
    <row r="20" spans="1:4" x14ac:dyDescent="0.25">
      <c r="A20" s="1"/>
      <c r="B20" s="57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7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TVT/xNVQFzbZMX9iBHu/pLqKFUHybMuOEZpdfTiH/eJaLW9F1Vb3VKCUlo+UEd6QCZ6y4aui+1+4sKPlpD30Q==" saltValue="woVwgdUmaFE5EMibbWFJw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82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49821011.163452357</v>
      </c>
      <c r="D9" s="8" t="s">
        <v>3</v>
      </c>
      <c r="E9" s="1"/>
    </row>
    <row r="10" spans="1:5" ht="15" customHeight="1" x14ac:dyDescent="0.25">
      <c r="A10" s="1"/>
      <c r="B10" s="56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6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981473.91992001142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-429378.78561756009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-232681.50360237766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-1136325.0384463018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49004099.755706131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Nøgletal'!C12)+'Fane 6. Ikke-påvirkelige omk.'!C22+'Fane 6. Ikke-påvirkelige omk.'!C30</f>
        <v>18906583.893457633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6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6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67910683.649163768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KQybax6VJl9Z7j/JTPmlXUL9lIEr/sTYmyzPh/022buvy+QEm2QNJeHxLIoW27ymjhyu7yMkr8C3szn2lhJ5w==" saltValue="lXO24SeLdAScvzZhpw6sS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246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30</v>
      </c>
      <c r="C5" s="82"/>
      <c r="D5" s="82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49004099.755706131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965380.76518741075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-422338.29366398614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-232520.02263887762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-1125803.2594793092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48188818.945111372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Nøgletal'!C12)^2+'Fane 6. Ikke-påvirkelige omk.'!C23+'Fane 6. Ikke-påvirkelige omk.'!C31</f>
        <v>19273324.570258748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6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6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67462143.515370116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erFvNzM+AN9jQ7AJL8ozBHGOszxY1BfIghsIebuLFx7O4J8ylxYqe64e2L1DV3+asXaGPq1NY7gK8JGHeHDvg==" saltValue="/bQi/xDsmdPk7jrEpfSU/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247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30</v>
      </c>
      <c r="C5" s="82"/>
      <c r="D5" s="82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269</v>
      </c>
      <c r="C9" s="7">
        <f>'Fane 2.3. Økonomisk ramme 2022'!C16</f>
        <v>48188818.945111372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949319.73321869399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-415311.85489416687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-232358.65374316624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-1115378.9067142259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47375089.262978509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Nøgletal'!C12)^3+'Fane 6. Ikke-påvirkelige omk.'!C24+'Fane 6. Ikke-påvirkelige omk.'!C32</f>
        <v>19647287.212792844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6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6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67022376.475771353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gyp69USdz0FfoECdpOPQ3n48gnpbwZFQPYIWV9cJgDUAJE4S3c0ucHPM/kVCD3yMPHoCFLIZBqa2kb7KuGRgw==" saltValue="+O8Xmf+Hil1fvb4s6TW3t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243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3" t="s">
        <v>79</v>
      </c>
      <c r="C9" s="84"/>
      <c r="D9" s="85"/>
      <c r="E9" s="7">
        <v>50746271.695459723</v>
      </c>
      <c r="F9" s="8" t="s">
        <v>3</v>
      </c>
      <c r="G9" s="1"/>
    </row>
    <row r="10" spans="1:7" ht="15" customHeight="1" x14ac:dyDescent="0.25">
      <c r="A10" s="1"/>
      <c r="B10" s="87" t="s">
        <v>64</v>
      </c>
      <c r="C10" s="88"/>
      <c r="D10" s="89"/>
      <c r="E10" s="7">
        <v>60564.530200000037</v>
      </c>
      <c r="F10" s="8" t="s">
        <v>3</v>
      </c>
      <c r="G10" s="1"/>
    </row>
    <row r="11" spans="1:7" ht="15" customHeight="1" x14ac:dyDescent="0.25">
      <c r="A11" s="1"/>
      <c r="B11" s="87" t="s">
        <v>65</v>
      </c>
      <c r="C11" s="88"/>
      <c r="D11" s="89"/>
      <c r="E11" s="9">
        <v>0</v>
      </c>
      <c r="F11" s="8" t="s">
        <v>3</v>
      </c>
      <c r="G11" s="1"/>
    </row>
    <row r="12" spans="1:7" ht="15" customHeight="1" x14ac:dyDescent="0.25">
      <c r="A12" s="1"/>
      <c r="B12" s="87" t="s">
        <v>42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83" t="s">
        <v>41</v>
      </c>
      <c r="C13" s="84"/>
      <c r="D13" s="85"/>
      <c r="E13" s="9">
        <v>0</v>
      </c>
      <c r="F13" s="8" t="s">
        <v>3</v>
      </c>
      <c r="G13" s="1"/>
    </row>
    <row r="14" spans="1:7" ht="15" customHeight="1" x14ac:dyDescent="0.25">
      <c r="A14" s="1"/>
      <c r="B14" s="83" t="s">
        <v>44</v>
      </c>
      <c r="C14" s="84"/>
      <c r="D14" s="85"/>
      <c r="E14" s="9">
        <v>0</v>
      </c>
      <c r="F14" s="8" t="s">
        <v>3</v>
      </c>
      <c r="G14" s="1"/>
    </row>
    <row r="15" spans="1:7" ht="15" customHeight="1" x14ac:dyDescent="0.25">
      <c r="A15" s="1"/>
      <c r="B15" s="83" t="s">
        <v>43</v>
      </c>
      <c r="C15" s="84"/>
      <c r="D15" s="85"/>
      <c r="E15" s="9">
        <v>0</v>
      </c>
      <c r="F15" s="8" t="s">
        <v>3</v>
      </c>
      <c r="G15" s="1"/>
    </row>
    <row r="16" spans="1:7" ht="15" customHeight="1" x14ac:dyDescent="0.25">
      <c r="A16" s="1"/>
      <c r="B16" s="83" t="s">
        <v>27</v>
      </c>
      <c r="C16" s="84"/>
      <c r="D16" s="85"/>
      <c r="E16" s="9">
        <f>E9*'Fane 15. Nøgletal'!C10+SUM(E10:E15)*'Fane 15. Nøgletal'!C11</f>
        <v>889083.2952309252</v>
      </c>
      <c r="F16" s="8" t="s">
        <v>3</v>
      </c>
      <c r="G16" s="1"/>
    </row>
    <row r="17" spans="1:7" ht="15" customHeight="1" x14ac:dyDescent="0.25">
      <c r="A17" s="1"/>
      <c r="B17" s="83" t="s">
        <v>10</v>
      </c>
      <c r="C17" s="84"/>
      <c r="D17" s="85"/>
      <c r="E17" s="9">
        <f>-SUM(E9:E16)*'Fane 5. Individuelt eff. krav'!G10</f>
        <v>-109639.04626678403</v>
      </c>
      <c r="F17" s="8" t="s">
        <v>3</v>
      </c>
      <c r="G17" s="1"/>
    </row>
    <row r="18" spans="1:7" ht="15" customHeight="1" x14ac:dyDescent="0.25">
      <c r="A18" s="1"/>
      <c r="B18" s="83" t="s">
        <v>39</v>
      </c>
      <c r="C18" s="84"/>
      <c r="D18" s="85"/>
      <c r="E18" s="9">
        <f>-'Fane 4.1. Gen. krav - drift'!G22</f>
        <v>-233004.80204411407</v>
      </c>
      <c r="F18" s="8" t="s">
        <v>3</v>
      </c>
      <c r="G18" s="1"/>
    </row>
    <row r="19" spans="1:7" ht="15" customHeight="1" x14ac:dyDescent="0.25">
      <c r="A19" s="1"/>
      <c r="B19" s="83" t="s">
        <v>40</v>
      </c>
      <c r="C19" s="84"/>
      <c r="D19" s="85"/>
      <c r="E19" s="9">
        <f>-'Fane 4.2. Gen. krav - anlæg'!G19</f>
        <v>-713643.00588182558</v>
      </c>
      <c r="F19" s="8" t="s">
        <v>3</v>
      </c>
      <c r="G19" s="1"/>
    </row>
    <row r="20" spans="1:7" ht="15" customHeight="1" x14ac:dyDescent="0.25">
      <c r="A20" s="1"/>
      <c r="B20" s="50" t="s">
        <v>29</v>
      </c>
      <c r="C20" s="51"/>
      <c r="D20" s="52"/>
      <c r="E20" s="10">
        <f>SUM(E9:E19)</f>
        <v>50639632.666697919</v>
      </c>
      <c r="F20" s="11" t="s">
        <v>3</v>
      </c>
      <c r="G20" s="1"/>
    </row>
    <row r="21" spans="1:7" ht="15" customHeight="1" x14ac:dyDescent="0.25">
      <c r="A21" s="1"/>
      <c r="B21" s="96" t="s">
        <v>145</v>
      </c>
      <c r="C21" s="97"/>
      <c r="D21" s="97"/>
      <c r="E21" s="97"/>
      <c r="F21" s="98"/>
      <c r="G21" s="1"/>
    </row>
    <row r="22" spans="1:7" ht="15" customHeight="1" x14ac:dyDescent="0.25">
      <c r="A22" s="1"/>
      <c r="B22" s="83" t="s">
        <v>239</v>
      </c>
      <c r="C22" s="84"/>
      <c r="D22" s="85"/>
      <c r="E22" s="44">
        <v>203704.05128556315</v>
      </c>
      <c r="F22" s="8" t="s">
        <v>3</v>
      </c>
      <c r="G22" s="1"/>
    </row>
    <row r="23" spans="1:7" ht="15" customHeight="1" x14ac:dyDescent="0.25">
      <c r="A23" s="1"/>
      <c r="B23" s="83" t="s">
        <v>238</v>
      </c>
      <c r="C23" s="84"/>
      <c r="D23" s="85"/>
      <c r="E23" s="44">
        <f>-E22*('Fane 15. Nøgletal'!C25+'Fane 5. Individuelt eff. krav'!G10)</f>
        <v>-4506.105798858086</v>
      </c>
      <c r="F23" s="8" t="s">
        <v>3</v>
      </c>
      <c r="G23" s="1"/>
    </row>
    <row r="24" spans="1:7" ht="15" customHeight="1" x14ac:dyDescent="0.25">
      <c r="A24" s="1"/>
      <c r="B24" s="90" t="s">
        <v>240</v>
      </c>
      <c r="C24" s="91"/>
      <c r="D24" s="92"/>
      <c r="E24" s="10">
        <f>SUM(E22:E23)</f>
        <v>199197.94548670508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90" t="s">
        <v>17</v>
      </c>
      <c r="C26" s="91"/>
      <c r="D26" s="92"/>
      <c r="E26" s="10">
        <v>20239562.145015005</v>
      </c>
      <c r="F26" s="11" t="s">
        <v>3</v>
      </c>
      <c r="G26" s="1"/>
    </row>
    <row r="27" spans="1:7" ht="15" customHeight="1" x14ac:dyDescent="0.25">
      <c r="A27" s="1"/>
      <c r="B27" s="96" t="s">
        <v>144</v>
      </c>
      <c r="C27" s="97"/>
      <c r="D27" s="97"/>
      <c r="E27" s="96"/>
      <c r="F27" s="97"/>
      <c r="G27" s="1"/>
    </row>
    <row r="28" spans="1:7" ht="15" customHeight="1" x14ac:dyDescent="0.25">
      <c r="A28" s="1"/>
      <c r="B28" s="99" t="s">
        <v>140</v>
      </c>
      <c r="C28" s="100"/>
      <c r="D28" s="101"/>
      <c r="E28" s="46">
        <f>595580*1.0169^2</f>
        <v>615880.70760379988</v>
      </c>
      <c r="F28" s="47" t="s">
        <v>3</v>
      </c>
      <c r="G28" s="1"/>
    </row>
    <row r="29" spans="1:7" ht="15" customHeight="1" x14ac:dyDescent="0.25">
      <c r="A29" s="1"/>
      <c r="B29" s="99" t="s">
        <v>141</v>
      </c>
      <c r="C29" s="100"/>
      <c r="D29" s="101"/>
      <c r="E29" s="46">
        <v>0</v>
      </c>
      <c r="F29" s="47" t="s">
        <v>3</v>
      </c>
      <c r="G29" s="1"/>
    </row>
    <row r="30" spans="1:7" ht="15" customHeight="1" x14ac:dyDescent="0.25">
      <c r="A30" s="1"/>
      <c r="B30" s="99" t="s">
        <v>266</v>
      </c>
      <c r="C30" s="100"/>
      <c r="D30" s="101"/>
      <c r="E30" s="46">
        <f>-(E28*'Fane 15. Nøgletal'!C25+E28*'Fane 5. Individuelt eff. krav'!G10)</f>
        <v>-13623.801836164015</v>
      </c>
      <c r="F30" s="47" t="s">
        <v>3</v>
      </c>
      <c r="G30" s="1"/>
    </row>
    <row r="31" spans="1:7" ht="15" customHeight="1" x14ac:dyDescent="0.25">
      <c r="A31" s="1"/>
      <c r="B31" s="90" t="s">
        <v>147</v>
      </c>
      <c r="C31" s="91"/>
      <c r="D31" s="92"/>
      <c r="E31" s="45">
        <f>SUM(E28:E30)</f>
        <v>602256.90576763591</v>
      </c>
      <c r="F31" s="11" t="s">
        <v>3</v>
      </c>
      <c r="G31" s="1"/>
    </row>
    <row r="32" spans="1:7" x14ac:dyDescent="0.25">
      <c r="A32" s="1"/>
      <c r="B32" s="40" t="s">
        <v>80</v>
      </c>
      <c r="C32" s="34"/>
      <c r="D32" s="34"/>
      <c r="E32" s="34"/>
      <c r="F32" s="22"/>
      <c r="G32" s="1"/>
    </row>
    <row r="33" spans="1:7" ht="27" customHeight="1" x14ac:dyDescent="0.25">
      <c r="A33" s="1"/>
      <c r="B33" s="93" t="s">
        <v>134</v>
      </c>
      <c r="C33" s="94"/>
      <c r="D33" s="95"/>
      <c r="E33" s="10">
        <v>-196057.45938993606</v>
      </c>
      <c r="F33" s="11" t="s">
        <v>3</v>
      </c>
      <c r="G33" s="1"/>
    </row>
    <row r="34" spans="1:7" x14ac:dyDescent="0.25">
      <c r="A34" s="1"/>
      <c r="B34" s="40" t="s">
        <v>11</v>
      </c>
      <c r="C34" s="34"/>
      <c r="D34" s="34"/>
      <c r="E34" s="34"/>
      <c r="F34" s="22"/>
      <c r="G34" s="1"/>
    </row>
    <row r="35" spans="1:7" ht="15" customHeight="1" x14ac:dyDescent="0.25">
      <c r="A35" s="1"/>
      <c r="B35" s="93" t="s">
        <v>19</v>
      </c>
      <c r="C35" s="94"/>
      <c r="D35" s="95"/>
      <c r="E35" s="10">
        <v>-3731100</v>
      </c>
      <c r="F35" s="11" t="s">
        <v>3</v>
      </c>
      <c r="G35" s="1"/>
    </row>
    <row r="36" spans="1:7" x14ac:dyDescent="0.25">
      <c r="A36" s="1"/>
      <c r="B36" s="96" t="s">
        <v>24</v>
      </c>
      <c r="C36" s="97"/>
      <c r="D36" s="98"/>
      <c r="E36" s="12">
        <f>SUM(E35,E33,E26,E20,E24,E31)</f>
        <v>67753492.203577325</v>
      </c>
      <c r="F36" s="13" t="s">
        <v>3</v>
      </c>
      <c r="G36" s="1"/>
    </row>
    <row r="37" spans="1:7" ht="27" customHeight="1" x14ac:dyDescent="0.25">
      <c r="A37" s="1"/>
      <c r="B37" s="83" t="s">
        <v>208</v>
      </c>
      <c r="C37" s="84"/>
      <c r="D37" s="84"/>
      <c r="E37" s="84"/>
      <c r="F37" s="85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U/0T8UB4o5r5jGwWWhXLl+sr33Nbw+dq51XoQSFDb+H2H9oXcnqktv+SsMxT1Ks5ENMvsNj4cU+SNWh30hWYpg==" saltValue="gjKKyLjmHMgNXSNYf/ExCw==" spinCount="100000" sheet="1" objects="1" scenarios="1"/>
  <mergeCells count="27">
    <mergeCell ref="B22:D22"/>
    <mergeCell ref="B23:D23"/>
    <mergeCell ref="B21:F21"/>
    <mergeCell ref="B24:D24"/>
    <mergeCell ref="B35:D35"/>
    <mergeCell ref="B27:D27"/>
    <mergeCell ref="B28:D28"/>
    <mergeCell ref="E27:F27"/>
    <mergeCell ref="B30:D30"/>
    <mergeCell ref="B31:D31"/>
    <mergeCell ref="B29:D29"/>
    <mergeCell ref="B37:F37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3:D33"/>
    <mergeCell ref="B36:D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1" t="s">
        <v>218</v>
      </c>
      <c r="C2" s="81"/>
      <c r="D2" s="81"/>
      <c r="E2" s="81"/>
      <c r="F2" s="81"/>
      <c r="G2" s="81"/>
      <c r="H2" s="81"/>
      <c r="I2" s="1"/>
    </row>
    <row r="3" spans="1:9" ht="15" customHeight="1" x14ac:dyDescent="0.25">
      <c r="A3" s="1"/>
      <c r="B3" s="81"/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96" t="s">
        <v>94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102" t="s">
        <v>83</v>
      </c>
      <c r="C6" s="103"/>
      <c r="D6" s="103"/>
      <c r="E6" s="103"/>
      <c r="F6" s="104"/>
      <c r="G6" s="26">
        <v>11785774</v>
      </c>
      <c r="H6" s="14" t="s">
        <v>3</v>
      </c>
      <c r="I6" s="1"/>
    </row>
    <row r="7" spans="1:9" x14ac:dyDescent="0.25">
      <c r="A7" s="1"/>
      <c r="B7" s="83" t="s">
        <v>242</v>
      </c>
      <c r="C7" s="84"/>
      <c r="D7" s="84"/>
      <c r="E7" s="84"/>
      <c r="F7" s="85"/>
      <c r="G7" s="26">
        <v>196873</v>
      </c>
      <c r="H7" s="14" t="s">
        <v>3</v>
      </c>
      <c r="I7" s="1"/>
    </row>
    <row r="8" spans="1:9" x14ac:dyDescent="0.25">
      <c r="A8" s="1"/>
      <c r="B8" s="102" t="s">
        <v>84</v>
      </c>
      <c r="C8" s="103"/>
      <c r="D8" s="103"/>
      <c r="E8" s="103"/>
      <c r="F8" s="104"/>
      <c r="G8" s="26">
        <f>SUM(G6:G7)*'Fane 15. Nøgletal'!C25</f>
        <v>239652.94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6" t="s">
        <v>95</v>
      </c>
      <c r="C11" s="97"/>
      <c r="D11" s="97"/>
      <c r="E11" s="97"/>
      <c r="F11" s="97"/>
      <c r="G11" s="97"/>
      <c r="H11" s="98"/>
      <c r="I11" s="1"/>
    </row>
    <row r="12" spans="1:9" x14ac:dyDescent="0.25">
      <c r="A12" s="1"/>
      <c r="B12" s="102" t="s">
        <v>85</v>
      </c>
      <c r="C12" s="103"/>
      <c r="D12" s="103"/>
      <c r="E12" s="103"/>
      <c r="F12" s="104"/>
      <c r="G12" s="26">
        <f>(G6-G8)*(1+'Fane 15. Nøgletal'!C10)</f>
        <v>11748178.178550001</v>
      </c>
      <c r="H12" s="14" t="s">
        <v>3</v>
      </c>
      <c r="I12" s="1"/>
    </row>
    <row r="13" spans="1:9" x14ac:dyDescent="0.25">
      <c r="A13" s="1"/>
      <c r="B13" s="102" t="s">
        <v>244</v>
      </c>
      <c r="C13" s="103"/>
      <c r="D13" s="103"/>
      <c r="E13" s="103"/>
      <c r="F13" s="104"/>
      <c r="G13" s="26">
        <v>-174939.16132936202</v>
      </c>
      <c r="H13" s="14" t="s">
        <v>3</v>
      </c>
      <c r="I13" s="1"/>
    </row>
    <row r="14" spans="1:9" ht="15" customHeight="1" x14ac:dyDescent="0.25">
      <c r="A14" s="1"/>
      <c r="B14" s="83" t="s">
        <v>237</v>
      </c>
      <c r="C14" s="84"/>
      <c r="D14" s="84"/>
      <c r="E14" s="84"/>
      <c r="F14" s="85"/>
      <c r="G14" s="26">
        <v>861472.04415798606</v>
      </c>
      <c r="H14" s="14" t="s">
        <v>3</v>
      </c>
      <c r="I14" s="1"/>
    </row>
    <row r="15" spans="1:9" x14ac:dyDescent="0.25">
      <c r="A15" s="1"/>
      <c r="B15" s="105" t="s">
        <v>86</v>
      </c>
      <c r="C15" s="106"/>
      <c r="D15" s="106"/>
      <c r="E15" s="106"/>
      <c r="F15" s="107"/>
      <c r="G15" s="26">
        <v>66116.132500000007</v>
      </c>
      <c r="H15" s="14" t="s">
        <v>3</v>
      </c>
      <c r="I15" s="1"/>
    </row>
    <row r="16" spans="1:9" x14ac:dyDescent="0.25">
      <c r="A16" s="1"/>
      <c r="B16" s="102" t="s">
        <v>87</v>
      </c>
      <c r="C16" s="103"/>
      <c r="D16" s="103"/>
      <c r="E16" s="103"/>
      <c r="F16" s="104"/>
      <c r="G16" s="26">
        <f>SUM(G12:G15)*'Fane 15. Nøgletal'!C25</f>
        <v>250016.54387757249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6" t="s">
        <v>96</v>
      </c>
      <c r="C19" s="97"/>
      <c r="D19" s="97"/>
      <c r="E19" s="97"/>
      <c r="F19" s="97"/>
      <c r="G19" s="97"/>
      <c r="H19" s="98"/>
      <c r="I19" s="1"/>
    </row>
    <row r="20" spans="1:9" x14ac:dyDescent="0.25">
      <c r="A20" s="1"/>
      <c r="B20" s="102" t="s">
        <v>88</v>
      </c>
      <c r="C20" s="103"/>
      <c r="D20" s="103"/>
      <c r="E20" s="103"/>
      <c r="F20" s="104"/>
      <c r="G20" s="26">
        <f>(SUM(G12:G13,G15)-(G16))*(1+'Fane 15. Nøgletal'!C10)</f>
        <v>11588652.031445323</v>
      </c>
      <c r="H20" s="14" t="s">
        <v>3</v>
      </c>
      <c r="I20" s="1"/>
    </row>
    <row r="21" spans="1:9" x14ac:dyDescent="0.25">
      <c r="A21" s="1"/>
      <c r="B21" s="105" t="s">
        <v>89</v>
      </c>
      <c r="C21" s="106"/>
      <c r="D21" s="106"/>
      <c r="E21" s="106"/>
      <c r="F21" s="107"/>
      <c r="G21" s="26">
        <f>677468.77836418-595580*1.0169^2</f>
        <v>61588.070760380127</v>
      </c>
      <c r="H21" s="14" t="s">
        <v>3</v>
      </c>
      <c r="I21" s="1"/>
    </row>
    <row r="22" spans="1:9" x14ac:dyDescent="0.25">
      <c r="A22" s="1"/>
      <c r="B22" s="102" t="s">
        <v>90</v>
      </c>
      <c r="C22" s="103"/>
      <c r="D22" s="103"/>
      <c r="E22" s="103"/>
      <c r="F22" s="104"/>
      <c r="G22" s="26">
        <f>SUM(G20:G21)*'Fane 15. Nøgletal'!C25</f>
        <v>233004.80204411407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6" t="s">
        <v>97</v>
      </c>
      <c r="C25" s="97"/>
      <c r="D25" s="97"/>
      <c r="E25" s="97"/>
      <c r="F25" s="97"/>
      <c r="G25" s="97"/>
      <c r="H25" s="98"/>
      <c r="I25" s="1"/>
    </row>
    <row r="26" spans="1:9" x14ac:dyDescent="0.25">
      <c r="A26" s="1"/>
      <c r="B26" s="102" t="s">
        <v>91</v>
      </c>
      <c r="C26" s="103"/>
      <c r="D26" s="103"/>
      <c r="E26" s="103"/>
      <c r="F26" s="104"/>
      <c r="G26" s="26">
        <f>(G20+G21-G22)*(1+'Fane 15. Nøgletal'!C12)</f>
        <v>11642154.835574772</v>
      </c>
      <c r="H26" s="14" t="s">
        <v>3</v>
      </c>
      <c r="I26" s="1"/>
    </row>
    <row r="27" spans="1:9" x14ac:dyDescent="0.25">
      <c r="A27" s="1"/>
      <c r="B27" s="105" t="s">
        <v>92</v>
      </c>
      <c r="C27" s="106"/>
      <c r="D27" s="106"/>
      <c r="E27" s="106"/>
      <c r="F27" s="107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(G26+G27)*'Fane 15. Nøgletal'!C25</f>
        <v>232843.09671149545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100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(G26+G27-G28)*(1+'Fane 15. Nøgletal'!C12)</f>
        <v>11634075.180118883</v>
      </c>
      <c r="H32" s="14" t="s">
        <v>3</v>
      </c>
      <c r="I32" s="1"/>
    </row>
    <row r="33" spans="1:9" x14ac:dyDescent="0.25">
      <c r="A33" s="1"/>
      <c r="B33" s="102" t="s">
        <v>149</v>
      </c>
      <c r="C33" s="103"/>
      <c r="D33" s="103"/>
      <c r="E33" s="103"/>
      <c r="F33" s="104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102</v>
      </c>
      <c r="C34" s="103"/>
      <c r="D34" s="103"/>
      <c r="E34" s="103"/>
      <c r="F34" s="104"/>
      <c r="G34" s="26">
        <f>(G32+G33)*'Fane 15. Nøgletal'!C25</f>
        <v>232681.50360237766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6" t="s">
        <v>127</v>
      </c>
      <c r="C37" s="97"/>
      <c r="D37" s="97"/>
      <c r="E37" s="97"/>
      <c r="F37" s="97"/>
      <c r="G37" s="97"/>
      <c r="H37" s="98"/>
      <c r="I37" s="1"/>
    </row>
    <row r="38" spans="1:9" x14ac:dyDescent="0.25">
      <c r="A38" s="1"/>
      <c r="B38" s="102" t="s">
        <v>126</v>
      </c>
      <c r="C38" s="103"/>
      <c r="D38" s="103"/>
      <c r="E38" s="103"/>
      <c r="F38" s="104"/>
      <c r="G38" s="26">
        <f>(G32-G34)*(1+'Fane 15. Nøgletal'!C12)</f>
        <v>11626001.131943882</v>
      </c>
      <c r="H38" s="14" t="s">
        <v>3</v>
      </c>
      <c r="I38" s="1"/>
    </row>
    <row r="39" spans="1:9" x14ac:dyDescent="0.25">
      <c r="A39" s="1"/>
      <c r="B39" s="102" t="s">
        <v>150</v>
      </c>
      <c r="C39" s="103"/>
      <c r="D39" s="103"/>
      <c r="E39" s="103"/>
      <c r="F39" s="104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103</v>
      </c>
      <c r="C40" s="103"/>
      <c r="D40" s="103"/>
      <c r="E40" s="103"/>
      <c r="F40" s="104"/>
      <c r="G40" s="26">
        <f>(G38+G39)*'Fane 15. Nøgletal'!C25</f>
        <v>232520.02263887762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6" t="s">
        <v>128</v>
      </c>
      <c r="C43" s="97"/>
      <c r="D43" s="97"/>
      <c r="E43" s="97"/>
      <c r="F43" s="97"/>
      <c r="G43" s="97"/>
      <c r="H43" s="98"/>
      <c r="I43" s="1"/>
    </row>
    <row r="44" spans="1:9" x14ac:dyDescent="0.25">
      <c r="A44" s="1"/>
      <c r="B44" s="102" t="s">
        <v>125</v>
      </c>
      <c r="C44" s="103"/>
      <c r="D44" s="103"/>
      <c r="E44" s="103"/>
      <c r="F44" s="104"/>
      <c r="G44" s="26">
        <f>(G38-G40)*(1+'Fane 15. Nøgletal'!C12)</f>
        <v>11617932.687158313</v>
      </c>
      <c r="H44" s="14" t="s">
        <v>3</v>
      </c>
      <c r="I44" s="1"/>
    </row>
    <row r="45" spans="1:9" x14ac:dyDescent="0.25">
      <c r="A45" s="1"/>
      <c r="B45" s="102" t="s">
        <v>151</v>
      </c>
      <c r="C45" s="103"/>
      <c r="D45" s="103"/>
      <c r="E45" s="103"/>
      <c r="F45" s="104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104</v>
      </c>
      <c r="C46" s="103"/>
      <c r="D46" s="103"/>
      <c r="E46" s="103"/>
      <c r="F46" s="104"/>
      <c r="G46" s="26">
        <f>(G44+G45)*'Fane 15. Nøgletal'!C25</f>
        <v>232358.65374316624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8Q5j6pmxB5FJ0/VpomT9o6qvJoHlKlhvgUuhOGVKy6s360OylbeRXWNLWhlRH//eYQ4Di9BGURVNMPx9s9EEQ==" saltValue="nPBwHJylgG58aolC2WwDf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8" t="s">
        <v>219</v>
      </c>
      <c r="C2" s="108"/>
      <c r="D2" s="108"/>
      <c r="E2" s="108"/>
      <c r="F2" s="108"/>
      <c r="G2" s="108"/>
      <c r="H2" s="108"/>
      <c r="I2" s="1"/>
    </row>
    <row r="3" spans="1:9" ht="18.75" x14ac:dyDescent="0.3">
      <c r="A3" s="1"/>
      <c r="B3" s="58"/>
      <c r="C3" s="58"/>
      <c r="D3" s="58"/>
      <c r="E3" s="58"/>
      <c r="F3" s="58"/>
      <c r="G3" s="58"/>
      <c r="H3" s="58"/>
      <c r="I3" s="1"/>
    </row>
    <row r="4" spans="1:9" x14ac:dyDescent="0.25">
      <c r="A4" s="1"/>
      <c r="B4" s="96" t="s">
        <v>98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39413866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358666.18060000002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106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39738665.816239499</v>
      </c>
      <c r="H10" s="14" t="s">
        <v>3</v>
      </c>
      <c r="I10" s="1"/>
    </row>
    <row r="11" spans="1:9" x14ac:dyDescent="0.25">
      <c r="A11" s="1"/>
      <c r="B11" s="102" t="s">
        <v>245</v>
      </c>
      <c r="C11" s="103"/>
      <c r="D11" s="103"/>
      <c r="E11" s="103"/>
      <c r="F11" s="104"/>
      <c r="G11" s="26">
        <v>600711.07275823352</v>
      </c>
      <c r="H11" s="14" t="s">
        <v>3</v>
      </c>
      <c r="I11" s="1"/>
    </row>
    <row r="12" spans="1:9" x14ac:dyDescent="0.25">
      <c r="A12" s="1"/>
      <c r="B12" s="105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714006.97093525995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110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(SUM(G10:G12)-G13)*(1+'Fane 15. Nøgletal'!C10)</f>
        <v>40318813.891628563</v>
      </c>
      <c r="H17" s="14" t="s">
        <v>3</v>
      </c>
      <c r="I17" s="1"/>
    </row>
    <row r="18" spans="1:9" x14ac:dyDescent="0.25">
      <c r="A18" s="1"/>
      <c r="B18" s="105" t="s">
        <v>112</v>
      </c>
      <c r="C18" s="106"/>
      <c r="D18" s="106"/>
      <c r="E18" s="106"/>
      <c r="F18" s="107"/>
      <c r="G18" s="26">
        <v>0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713643.00588182558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114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(G17+G18-G19)*(1+'Fane 15. Nøgletal'!C12)</f>
        <v>40385392.752195954</v>
      </c>
      <c r="H23" s="14" t="s">
        <v>3</v>
      </c>
      <c r="I23" s="1"/>
    </row>
    <row r="24" spans="1:9" x14ac:dyDescent="0.25">
      <c r="A24" s="1"/>
      <c r="B24" s="105" t="s">
        <v>116</v>
      </c>
      <c r="C24" s="106"/>
      <c r="D24" s="106"/>
      <c r="E24" s="106"/>
      <c r="F24" s="107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102" t="s">
        <v>117</v>
      </c>
      <c r="C25" s="103"/>
      <c r="D25" s="103"/>
      <c r="E25" s="103"/>
      <c r="F25" s="104"/>
      <c r="G25" s="26">
        <f>(G23+G24)*'Fane 15. Nøgletal'!C20</f>
        <v>1146945.1541623652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118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102" t="s">
        <v>119</v>
      </c>
      <c r="C29" s="103"/>
      <c r="D29" s="103"/>
      <c r="E29" s="103"/>
      <c r="F29" s="104"/>
      <c r="G29" s="26">
        <f>(G23+G24-G25)*(1+'Fane 15. Nøgletal'!C12)</f>
        <v>40011445.015714854</v>
      </c>
      <c r="H29" s="14" t="s">
        <v>3</v>
      </c>
      <c r="I29" s="1"/>
    </row>
    <row r="30" spans="1:9" x14ac:dyDescent="0.25">
      <c r="A30" s="1"/>
      <c r="B30" s="102" t="s">
        <v>155</v>
      </c>
      <c r="C30" s="103"/>
      <c r="D30" s="103"/>
      <c r="E30" s="103"/>
      <c r="F30" s="104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102" t="s">
        <v>120</v>
      </c>
      <c r="C31" s="103"/>
      <c r="D31" s="103"/>
      <c r="E31" s="103"/>
      <c r="F31" s="104"/>
      <c r="G31" s="26">
        <f>(G29+G30)*'Fane 15. Nøgletal'!C20</f>
        <v>1136325.0384463018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129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102" t="s">
        <v>124</v>
      </c>
      <c r="C35" s="103"/>
      <c r="D35" s="103"/>
      <c r="E35" s="103"/>
      <c r="F35" s="104"/>
      <c r="G35" s="26">
        <f>(G29+G30-G31)*(1+'Fane 15. Nøgletal'!C12)</f>
        <v>39640959.840820745</v>
      </c>
      <c r="H35" s="14" t="s">
        <v>3</v>
      </c>
      <c r="I35" s="1"/>
    </row>
    <row r="36" spans="1:9" x14ac:dyDescent="0.25">
      <c r="A36" s="1"/>
      <c r="B36" s="102" t="s">
        <v>156</v>
      </c>
      <c r="C36" s="103"/>
      <c r="D36" s="103"/>
      <c r="E36" s="103"/>
      <c r="F36" s="104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102" t="s">
        <v>121</v>
      </c>
      <c r="C37" s="103"/>
      <c r="D37" s="103"/>
      <c r="E37" s="103"/>
      <c r="F37" s="104"/>
      <c r="G37" s="26">
        <f>(G35+G36)*'Fane 15. Nøgletal'!C20</f>
        <v>1125803.2594793092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130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102" t="s">
        <v>123</v>
      </c>
      <c r="C41" s="103"/>
      <c r="D41" s="103"/>
      <c r="E41" s="103"/>
      <c r="F41" s="104"/>
      <c r="G41" s="26">
        <f>(G35+G36-G37)*(1+'Fane 15. Nøgletal'!C12)</f>
        <v>39273905.165993869</v>
      </c>
      <c r="H41" s="14" t="s">
        <v>3</v>
      </c>
      <c r="I41" s="1"/>
    </row>
    <row r="42" spans="1:9" x14ac:dyDescent="0.25">
      <c r="A42" s="1"/>
      <c r="B42" s="102" t="s">
        <v>157</v>
      </c>
      <c r="C42" s="103"/>
      <c r="D42" s="103"/>
      <c r="E42" s="103"/>
      <c r="F42" s="104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102" t="s">
        <v>122</v>
      </c>
      <c r="C43" s="103"/>
      <c r="D43" s="103"/>
      <c r="E43" s="103"/>
      <c r="F43" s="104"/>
      <c r="G43" s="26">
        <f>(G41+G42)*'Fane 15. Nøgletal'!C20</f>
        <v>1115378.9067142259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tNMrKMrSXiKpCfq5+J9+M0aQBSHCHAved+J2WrqkG7/u7EVRvmGWthEq9AG4MavFwK0fswWaeQXQeSLpYb9eA==" saltValue="RvhT5fwym1z+p0aK4TOh2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148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7.3019819059010884E-3</v>
      </c>
      <c r="H9" s="14"/>
      <c r="I9" s="1"/>
    </row>
    <row r="10" spans="1:9" x14ac:dyDescent="0.25">
      <c r="A10" s="1"/>
      <c r="B10" s="102" t="s">
        <v>132</v>
      </c>
      <c r="C10" s="103"/>
      <c r="D10" s="103"/>
      <c r="E10" s="103"/>
      <c r="F10" s="104"/>
      <c r="G10" s="25">
        <v>2.1208452675356361E-3</v>
      </c>
      <c r="H10" s="14"/>
      <c r="I10" s="1"/>
    </row>
    <row r="11" spans="1:9" x14ac:dyDescent="0.25">
      <c r="A11" s="1"/>
      <c r="B11" s="102" t="s">
        <v>133</v>
      </c>
      <c r="C11" s="103"/>
      <c r="D11" s="103"/>
      <c r="E11" s="103"/>
      <c r="F11" s="104"/>
      <c r="G11" s="43">
        <v>8.4519248401510889E-3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9" t="s">
        <v>78</v>
      </c>
      <c r="C14" s="109"/>
      <c r="D14" s="109"/>
      <c r="E14" s="109"/>
      <c r="F14" s="109"/>
      <c r="G14" s="109"/>
      <c r="H14" s="109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m7lP9xXjaiXEMmqlhWZKjYjTgPMr7sN4cb+J21B5iBFSlTYyWBY3e3lRWc6KoYJnQMzQ4WJt2Xw2JBICHja5w==" saltValue="NJxMUXiiL+Ykj/yhweft7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2019-10-08T09:42:39Z</dcterms:modified>
</cp:coreProperties>
</file>