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ørsholm Vand ApS (S05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C12" i="37" l="1"/>
  <c r="E12" i="37"/>
  <c r="E19" i="40" l="1"/>
  <c r="E16" i="40" l="1"/>
  <c r="E12" i="40"/>
  <c r="E11" i="11" l="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2" i="11" l="1"/>
  <c r="C10" i="37" s="1"/>
  <c r="G12" i="11"/>
  <c r="C13" i="37" l="1"/>
  <c r="C10" i="2" s="1"/>
  <c r="E11" i="21"/>
  <c r="C11" i="21"/>
  <c r="E11" i="29"/>
  <c r="C11" i="29"/>
  <c r="C14" i="19"/>
  <c r="C15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2" i="11"/>
  <c r="E10" i="37" s="1"/>
  <c r="C30" i="2"/>
  <c r="E13" i="37" l="1"/>
  <c r="C11" i="2" s="1"/>
  <c r="G24" i="36" s="1"/>
  <c r="G25" i="36" s="1"/>
  <c r="C14" i="15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<sst xmlns="http://schemas.openxmlformats.org/spreadsheetml/2006/main" count="672" uniqueCount="267">
  <si>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</si>
  <si>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</si>
  <si>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</si>
  <si>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</si>
  <si>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</si>
  <si>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</si>
  <si>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</si>
  <si>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</si>
  <si>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</si>
  <si>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</si>
  <si>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</si>
  <si>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</si>
  <si>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</si>
  <si>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</si>
  <si>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</si>
  <si>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</si>
  <si>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</si>
  <si>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</si>
  <si>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</si>
  <si>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</si>
  <si>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</si>
  <si>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</si>
  <si>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</si>
  <si>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</si>
  <si>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</si>
  <si>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</si>
  <si>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</si>
  <si>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</si>
  <si>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</si>
  <si>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</si>
  <si>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</si>
  <si>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</si>
  <si>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</si>
  <si>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</si>
  <si>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</si>
  <si>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</si>
  <si>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</si>
  <si>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</si>
  <si>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</si>
  <si>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</si>
  <si>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</si>
  <si>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</si>
  <si>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</si>
  <si>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</si>
  <si>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</si>
  <si>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</si>
  <si>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</si>
  <si>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</si>
  <si>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</si>
  <si>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</si>
  <si>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</si>
  <si>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</si>
  <si>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</si>
  <si>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</si>
  <si>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</si>
  <si>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</si>
  <si>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</si>
  <si>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</si>
  <si>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</si>
  <si>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</si>
  <si>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</si>
  <si>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</si>
  <si>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</si>
  <si>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</si>
  <si>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</si>
  <si>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</si>
  <si>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</si>
  <si>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</si>
  <si>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</si>
  <si>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</si>
  <si>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</si>
  <si>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</si>
  <si>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</si>
  <si>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</si>
  <si>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</si>
  <si>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</si>
  <si>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</si>
  <si>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</si>
  <si>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</si>
  <si>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</si>
  <si>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</si>
  <si>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</si>
  <si>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</si>
  <si>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</si>
  <si>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</si>
  <si>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</si>
  <si>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</si>
  <si>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</si>
  <si>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</si>
  <si>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</si>
  <si>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</si>
  <si>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</si>
  <si>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</si>
  <si>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</si>
  <si>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</si>
  <si>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</si>
  <si>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</si>
  <si>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</si>
  <si>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</si>
  <si>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</si>
  <si>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</si>
  <si>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</si>
  <si>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</si>
  <si>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</si>
  <si>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</si>
  <si>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</si>
  <si>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</si>
  <si>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</si>
  <si>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</si>
  <si>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</si>
  <si>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</si>
  <si>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</si>
  <si>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</si>
  <si>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</si>
  <si>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</si>
  <si>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</si>
  <si>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</si>
  <si>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</si>
  <si>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</si>
  <si>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</si>
  <si>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</si>
  <si>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</si>
  <si>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</si>
  <si>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</si>
  <si>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</si>
  <si>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</si>
  <si>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</si>
  <si>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</si>
  <si>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</si>
  <si>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</si>
  <si>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</si>
  <si>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</si>
  <si>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</si>
  <si>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</si>
  <si>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</si>
  <si>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</si>
  <si>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</si>
  <si>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</si>
  <si>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</si>
  <si>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</si>
  <si>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</si>
  <si>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</si>
  <si>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</si>
  <si>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</si>
  <si>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</si>
  <si>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</si>
  <si>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</si>
  <si>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</si>
  <si>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</si>
  <si>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</si>
  <si>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</si>
  <si>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</si>
  <si>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</si>
  <si>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</si>
  <si>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</si>
  <si>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</si>
  <si>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</si>
  <si>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</si>
  <si>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</si>
  <si>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</si>
  <si>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</si>
  <si>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</si>
  <si>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</si>
  <si>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</si>
  <si>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</si>
  <si>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</si>
  <si>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</si>
  <si>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</si>
  <si>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</si>
  <si>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</si>
  <si>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</si>
  <si>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</si>
  <si>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</si>
  <si>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</si>
  <si>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</si>
  <si>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</si>
  <si>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</si>
  <si>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</si>
  <si>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</si>
  <si>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</si>
  <si>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</si>
  <si>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</si>
  <si>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</si>
  <si>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</si>
  <si>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</si>
  <si>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</si>
  <si>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</si>
  <si>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</si>
  <si>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</si>
  <si>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</si>
  <si>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</si>
  <si>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</si>
  <si>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</si>
  <si>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</si>
  <si>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</si>
  <si>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</si>
  <si>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</si>
  <si>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</si>
  <si>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</si>
  <si>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</si>
  <si>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</si>
  <si>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</si>
  <si>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</si>
  <si>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</si>
  <si>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</si>
  <si>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</si>
  <si>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</si>
  <si>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</si>
  <si>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</si>
  <si>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</si>
  <si>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</si>
  <si>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</si>
  <si>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</si>
  <si>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</si>
  <si>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</si>
  <si>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</si>
  <si>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</si>
  <si>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</si>
  <si>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</si>
  <si>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</si>
  <si>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</si>
  <si>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</si>
  <si>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</si>
  <si>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</si>
  <si>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</si>
  <si>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</si>
  <si>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</si>
  <si>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</si>
  <si>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</si>
  <si>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</si>
  <si>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</si>
  <si>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</si>
  <si>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</si>
  <si>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</si>
  <si>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</si>
  <si>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</si>
  <si>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</si>
  <si>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</si>
  <si>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</si>
  <si>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</si>
  <si>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</si>
  <si>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</si>
  <si>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</si>
  <si>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</si>
  <si>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</si>
  <si>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</si>
  <si>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</si>
  <si>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</si>
  <si>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</si>
  <si>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</si>
  <si>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</si>
  <si>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</si>
  <si>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</si>
  <si>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</si>
  <si>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</si>
  <si>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</si>
  <si>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</si>
  <si>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</si>
  <si>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</si>
  <si>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</si>
  <si>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</si>
  <si>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</si>
  <si>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</si>
  <si>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engangstillæg</t>
  </si>
  <si>
    <t>Ledningsnet ≤ Ø 200 mm</t>
  </si>
  <si>
    <t>Anlægsprojekter igangsat senest 1. marts 2016</t>
  </si>
  <si>
    <t>Nye tilslutninger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</si>
</sst>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172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52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23</v>
      </c>
      <c r="D14" s="69" t="s">
        <v>54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51</v>
      </c>
      <c r="D15" s="69" t="s">
        <v>135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53</v>
      </c>
      <c r="D16" s="69" t="s">
        <v>136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241</v>
      </c>
      <c r="D17" s="69" t="s">
        <v>63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212</v>
      </c>
      <c r="D18" s="63" t="s">
        <v>180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213</v>
      </c>
      <c r="D19" s="63" t="s">
        <v>181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214</v>
      </c>
      <c r="D21" s="73" t="s">
        <v>17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142</v>
      </c>
      <c r="D22" s="57" t="s">
        <v>176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249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55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215</v>
      </c>
      <c r="D25" s="57" t="s">
        <v>143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216</v>
      </c>
      <c r="D26" s="57" t="s">
        <v>144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217</v>
      </c>
      <c r="D27" s="57" t="s">
        <v>145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22</v>
      </c>
      <c r="D28" s="57" t="s">
        <v>56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58</v>
      </c>
      <c r="D29" s="57" t="s">
        <v>57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59</v>
      </c>
      <c r="D30" s="66" t="s">
        <v>11</v>
      </c>
      <c r="E30" s="67"/>
      <c r="F30" s="67"/>
      <c r="G30" s="68"/>
      <c r="H30" s="1"/>
      <c r="I30" s="1"/>
    </row>
    <row r="31" spans="1:9" x14ac:dyDescent="0.25">
      <c r="A31" s="1"/>
      <c r="B31" s="1"/>
      <c r="C31" s="6" t="s">
        <v>175</v>
      </c>
      <c r="D31" s="60" t="s">
        <v>207</v>
      </c>
      <c r="E31" s="61"/>
      <c r="F31" s="61"/>
      <c r="G31" s="62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ma3cP4SPOtl8jF5QpUGAjcTZA0TzeKNsFsC5fNl3umgoB7qHxPEwaYaSX3deK7Eh7JXzY4fYRmP0da2r0A12HA==" saltValue="BcIU9ZM5bf+qtmuMMWFnxQ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3" t="s">
        <v>66</v>
      </c>
      <c r="C8" s="84"/>
      <c r="D8" s="8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259</v>
      </c>
      <c r="C10" s="9">
        <v>610921</v>
      </c>
      <c r="D10" s="14" t="s">
        <v>3</v>
      </c>
      <c r="E10" s="1"/>
      <c r="F10" s="1"/>
    </row>
    <row r="11" spans="1:6" x14ac:dyDescent="0.25">
      <c r="A11" s="1"/>
      <c r="B11" s="53" t="s">
        <v>260</v>
      </c>
      <c r="C11" s="9">
        <v>27339</v>
      </c>
      <c r="D11" s="14" t="s">
        <v>3</v>
      </c>
      <c r="E11" s="1"/>
      <c r="F11" s="1"/>
    </row>
    <row r="12" spans="1:6" ht="26.25" x14ac:dyDescent="0.25">
      <c r="A12" s="1"/>
      <c r="B12" s="35" t="s">
        <v>261</v>
      </c>
      <c r="C12" s="9">
        <v>298889</v>
      </c>
      <c r="D12" s="14" t="s">
        <v>3</v>
      </c>
      <c r="E12" s="1"/>
      <c r="F12" s="1"/>
    </row>
    <row r="13" spans="1:6" x14ac:dyDescent="0.25">
      <c r="A13" s="1"/>
      <c r="B13" s="53" t="s">
        <v>262</v>
      </c>
      <c r="C13" s="9">
        <v>106387</v>
      </c>
      <c r="D13" s="14" t="s">
        <v>3</v>
      </c>
      <c r="E13" s="1"/>
      <c r="F13" s="1"/>
    </row>
    <row r="14" spans="1:6" x14ac:dyDescent="0.25">
      <c r="A14" s="1"/>
      <c r="B14" s="40" t="s">
        <v>68</v>
      </c>
      <c r="C14" s="12">
        <f>SUM(C10:C13)</f>
        <v>1043536</v>
      </c>
      <c r="D14" s="13" t="s">
        <v>3</v>
      </c>
      <c r="E14" s="1"/>
      <c r="F14" s="1"/>
    </row>
    <row r="15" spans="1:6" x14ac:dyDescent="0.25">
      <c r="A15" s="1"/>
      <c r="B15" s="40" t="s">
        <v>69</v>
      </c>
      <c r="C15" s="12">
        <f>C14*(1+'Fane 15. Nøgletal'!C12)^2</f>
        <v>1085056.3042862401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3" t="s">
        <v>236</v>
      </c>
      <c r="C18" s="84"/>
      <c r="D18" s="85"/>
      <c r="E18" s="1"/>
      <c r="F18" s="1"/>
    </row>
    <row r="19" spans="1:6" x14ac:dyDescent="0.25">
      <c r="A19" s="1"/>
      <c r="B19" s="53" t="s">
        <v>197</v>
      </c>
      <c r="C19" s="9">
        <v>580698</v>
      </c>
      <c r="D19" s="14" t="s">
        <v>3</v>
      </c>
      <c r="E19" s="1"/>
      <c r="F19" s="1"/>
    </row>
    <row r="20" spans="1:6" x14ac:dyDescent="0.25">
      <c r="A20" s="1"/>
      <c r="B20" s="53" t="s">
        <v>198</v>
      </c>
      <c r="C20" s="9">
        <v>583000</v>
      </c>
      <c r="D20" s="14" t="s">
        <v>3</v>
      </c>
      <c r="E20" s="1"/>
      <c r="F20" s="1"/>
    </row>
    <row r="21" spans="1:6" x14ac:dyDescent="0.25">
      <c r="A21" s="1"/>
      <c r="B21" s="53" t="s">
        <v>199</v>
      </c>
      <c r="C21" s="9">
        <v>585354</v>
      </c>
      <c r="D21" s="14" t="s">
        <v>3</v>
      </c>
      <c r="E21" s="1"/>
      <c r="F21" s="1"/>
    </row>
    <row r="22" spans="1:6" x14ac:dyDescent="0.25">
      <c r="A22" s="1"/>
      <c r="B22" s="53" t="s">
        <v>200</v>
      </c>
      <c r="C22" s="9">
        <v>587761</v>
      </c>
      <c r="D22" s="14" t="s">
        <v>3</v>
      </c>
      <c r="E22" s="1"/>
      <c r="F22" s="1"/>
    </row>
    <row r="23" spans="1:6" x14ac:dyDescent="0.25">
      <c r="A23" s="1"/>
      <c r="B23" s="83"/>
      <c r="C23" s="84"/>
      <c r="D23" s="85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3" t="s">
        <v>196</v>
      </c>
      <c r="C26" s="84"/>
      <c r="D26" s="85"/>
      <c r="E26" s="1"/>
      <c r="F26" s="1"/>
    </row>
    <row r="27" spans="1:6" x14ac:dyDescent="0.25">
      <c r="A27" s="1"/>
      <c r="B27" s="53" t="s">
        <v>197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3"/>
      <c r="C31" s="84"/>
      <c r="D31" s="85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vHM2HeeZ0kvBXjh27SR7+U8cEIYs0TYs6yHItroXmdRu0axmXVqkzSkaj8L0lDx45BefjSr+NeHHjCQjdt/ZWA==" saltValue="hBLC2tBRmqDN9bkmJv4plQ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226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46"/>
      <c r="C5" s="46"/>
      <c r="D5" s="46"/>
      <c r="E5" s="46"/>
      <c r="F5" s="46"/>
      <c r="G5" s="1"/>
    </row>
    <row r="6" spans="1:7" ht="15" customHeight="1" x14ac:dyDescent="0.25">
      <c r="A6" s="1"/>
      <c r="B6" s="46"/>
      <c r="C6" s="46"/>
      <c r="D6" s="46"/>
      <c r="E6" s="46"/>
      <c r="F6" s="4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183</v>
      </c>
      <c r="C8" s="84"/>
      <c r="D8" s="84"/>
      <c r="E8" s="84"/>
      <c r="F8" s="85"/>
      <c r="G8" s="1"/>
    </row>
    <row r="9" spans="1:7" x14ac:dyDescent="0.25">
      <c r="A9" s="1"/>
      <c r="B9" s="96" t="s">
        <v>184</v>
      </c>
      <c r="C9" s="97"/>
      <c r="D9" s="98"/>
      <c r="E9" s="9">
        <v>46160627.962647237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44831543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6" t="s">
        <v>186</v>
      </c>
      <c r="C12" s="87"/>
      <c r="D12" s="88"/>
      <c r="E12" s="10">
        <f>E9-(E10-E11)</f>
        <v>1329084.9626472369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3" t="s">
        <v>73</v>
      </c>
      <c r="C17" s="84"/>
      <c r="D17" s="84"/>
      <c r="E17" s="84"/>
      <c r="F17" s="85"/>
      <c r="G17" s="1"/>
    </row>
    <row r="18" spans="1:7" x14ac:dyDescent="0.25">
      <c r="A18" s="1"/>
      <c r="B18" s="96" t="s">
        <v>74</v>
      </c>
      <c r="C18" s="97"/>
      <c r="D18" s="98"/>
      <c r="E18" s="9">
        <v>49433494.280960128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48381856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6" t="s">
        <v>76</v>
      </c>
      <c r="C21" s="87"/>
      <c r="D21" s="88"/>
      <c r="E21" s="10">
        <f>E18-(E19-E20)</f>
        <v>1051638.2809601277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3" t="s">
        <v>179</v>
      </c>
      <c r="C25" s="84"/>
      <c r="D25" s="84"/>
      <c r="E25" s="84"/>
      <c r="F25" s="8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6" t="s">
        <v>251</v>
      </c>
      <c r="C28" s="87"/>
      <c r="D28" s="88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NAP0C0tAXdeCIq6S6evqJciSDoTs99+tJf38uYvQW2tdbWhE9piWkft9E28Tnkey2/tpf9Wg60NpxPX0m7oJ+Q==" saltValue="9jf+UqItFZvQRWbhPSIhHg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252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3" t="s">
        <v>177</v>
      </c>
      <c r="C9" s="84"/>
      <c r="D9" s="84"/>
      <c r="E9" s="84"/>
      <c r="F9" s="8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6" t="s">
        <v>203</v>
      </c>
      <c r="C12" s="87"/>
      <c r="D12" s="88"/>
      <c r="E12" s="10">
        <f>E11-E10</f>
        <v>0</v>
      </c>
      <c r="F12" s="11" t="s">
        <v>3</v>
      </c>
      <c r="G12" s="1"/>
    </row>
    <row r="13" spans="1:7" x14ac:dyDescent="0.25">
      <c r="A13" s="1"/>
      <c r="B13" s="83" t="s">
        <v>178</v>
      </c>
      <c r="C13" s="84"/>
      <c r="D13" s="84"/>
      <c r="E13" s="84"/>
      <c r="F13" s="84"/>
      <c r="G13" s="1"/>
    </row>
    <row r="14" spans="1:7" x14ac:dyDescent="0.25">
      <c r="A14" s="1"/>
      <c r="B14" s="96" t="s">
        <v>210</v>
      </c>
      <c r="C14" s="97"/>
      <c r="D14" s="98"/>
      <c r="E14" s="9">
        <v>343722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6" t="s">
        <v>203</v>
      </c>
      <c r="C16" s="87"/>
      <c r="D16" s="88"/>
      <c r="E16" s="10">
        <f>E15-E14</f>
        <v>-343722</v>
      </c>
      <c r="F16" s="11" t="s">
        <v>3</v>
      </c>
      <c r="G16" s="1"/>
    </row>
    <row r="17" spans="1:7" ht="15" customHeight="1" x14ac:dyDescent="0.25">
      <c r="A17" s="1"/>
      <c r="B17" s="83" t="s">
        <v>173</v>
      </c>
      <c r="C17" s="84"/>
      <c r="D17" s="84"/>
      <c r="E17" s="84"/>
      <c r="F17" s="8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89" t="s">
        <v>182</v>
      </c>
      <c r="C19" s="90"/>
      <c r="D19" s="91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19341.989015108673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-324380.01098489133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U3ff1n2XuY5UGEpltE8HkiaqggbFZXDedtLTg1penUtDiaCxT8NAA+FAA5DQBhRp/BTkGRS0mwfu2RljexUcaA==" saltValue="V9cgEK64ToJ7eGw34ULUyg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254</v>
      </c>
      <c r="C8" s="84"/>
      <c r="D8" s="84"/>
      <c r="E8" s="84"/>
      <c r="F8" s="84"/>
      <c r="G8" s="84"/>
      <c r="H8" s="8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264</v>
      </c>
      <c r="C10" s="56">
        <v>75</v>
      </c>
      <c r="D10" s="9">
        <v>17573942</v>
      </c>
      <c r="E10" s="9">
        <f>IFERROR(D10/C10,0)</f>
        <v>234319.22666666665</v>
      </c>
      <c r="F10" s="9">
        <v>0</v>
      </c>
      <c r="G10" s="9">
        <v>286456</v>
      </c>
      <c r="H10" s="14" t="s">
        <v>3</v>
      </c>
      <c r="I10" s="1"/>
    </row>
    <row r="11" spans="1:9" x14ac:dyDescent="0.25">
      <c r="A11" s="1"/>
      <c r="B11" s="55" t="s">
        <v>264</v>
      </c>
      <c r="C11" s="56">
        <v>75</v>
      </c>
      <c r="D11" s="9">
        <v>1706703</v>
      </c>
      <c r="E11" s="9">
        <f t="shared" ref="E11" si="0">IFERROR(D11/C11,0)</f>
        <v>22756.04</v>
      </c>
      <c r="F11" s="9">
        <v>0</v>
      </c>
      <c r="G11" s="9">
        <v>27493</v>
      </c>
      <c r="H11" s="14" t="s">
        <v>3</v>
      </c>
      <c r="I11" s="1"/>
    </row>
    <row r="12" spans="1:9" x14ac:dyDescent="0.25">
      <c r="A12" s="1"/>
      <c r="B12" s="83" t="s">
        <v>255</v>
      </c>
      <c r="C12" s="84"/>
      <c r="D12" s="85"/>
      <c r="E12" s="12">
        <f>SUM(E10:E11)</f>
        <v>257075.26666666666</v>
      </c>
      <c r="F12" s="12">
        <f>SUM(F10:F11)</f>
        <v>0</v>
      </c>
      <c r="G12" s="12">
        <f>SUM(G10:G11)</f>
        <v>313949</v>
      </c>
      <c r="H12" s="13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d8QkSM/EHUsTy6dm18SZhiDBTkQViN4SxlrXoIHiswTiBJoyGZTNb2CeUWi0XVil7W2VdA1Apx+UamaS4cnbuw==" saltValue="RQCQaV23Xt60E8tJ+/twtA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265</v>
      </c>
      <c r="C10" s="24">
        <f>'Fane 9. Anlægsprojekter'!F12</f>
        <v>0</v>
      </c>
      <c r="D10" s="14" t="s">
        <v>3</v>
      </c>
      <c r="E10" s="9">
        <f>SUM('Fane 9. Anlægsprojekter'!E12,'Fane 9. Anlægsprojekter'!G12)</f>
        <v>571024.2666666666</v>
      </c>
      <c r="F10" s="14" t="s">
        <v>3</v>
      </c>
      <c r="G10" s="1"/>
    </row>
    <row r="11" spans="1:7" x14ac:dyDescent="0.25">
      <c r="A11" s="1"/>
      <c r="B11" s="27" t="s">
        <v>266</v>
      </c>
      <c r="C11" s="24">
        <v>50411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40" t="s">
        <v>60</v>
      </c>
      <c r="C12" s="12">
        <f>SUM(C10:C11)</f>
        <v>50411</v>
      </c>
      <c r="D12" s="13" t="s">
        <v>3</v>
      </c>
      <c r="E12" s="12">
        <f>SUM(E10:E11)</f>
        <v>571024.2666666666</v>
      </c>
      <c r="F12" s="13" t="s">
        <v>3</v>
      </c>
      <c r="G12" s="1"/>
    </row>
    <row r="13" spans="1:7" x14ac:dyDescent="0.25">
      <c r="A13" s="1"/>
      <c r="B13" s="40" t="s">
        <v>70</v>
      </c>
      <c r="C13" s="12">
        <f>C12*(1+'Fane 15. Nøgletal'!C12)</f>
        <v>51404.096700000002</v>
      </c>
      <c r="D13" s="13" t="s">
        <v>3</v>
      </c>
      <c r="E13" s="12">
        <f>E12*(1+'Fane 15. Nøgletal'!C12)</f>
        <v>582273.44471999991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fG2dsp7UuuxCrtz4SfO4AWkGWUQu46r7a38wwHv+qWB+YYToNu++psKp+OPbGhvBagEgl8+dmy0+qETeh1l+wQ==" saltValue="autC5XWI1v3rtLDQ3eoAD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187</v>
      </c>
      <c r="C8" s="84"/>
      <c r="D8" s="84"/>
      <c r="E8" s="84"/>
      <c r="F8" s="85"/>
      <c r="G8" s="1"/>
    </row>
    <row r="9" spans="1:7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263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3" t="s">
        <v>188</v>
      </c>
      <c r="C16" s="84"/>
      <c r="D16" s="84"/>
      <c r="E16" s="84"/>
      <c r="F16" s="85"/>
      <c r="G16" s="1"/>
    </row>
    <row r="17" spans="1:7" x14ac:dyDescent="0.25">
      <c r="A17" s="1"/>
      <c r="B17" s="51" t="s">
        <v>25</v>
      </c>
      <c r="C17" s="51" t="s">
        <v>16</v>
      </c>
      <c r="D17" s="52"/>
      <c r="E17" s="51" t="s">
        <v>48</v>
      </c>
      <c r="F17" s="39"/>
      <c r="G17" s="1"/>
    </row>
    <row r="18" spans="1:7" x14ac:dyDescent="0.25">
      <c r="A18" s="1"/>
      <c r="B18" s="27" t="s">
        <v>263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3" t="s">
        <v>189</v>
      </c>
      <c r="C24" s="84"/>
      <c r="D24" s="84"/>
      <c r="E24" s="84"/>
      <c r="F24" s="85"/>
      <c r="G24" s="1"/>
    </row>
    <row r="25" spans="1:7" x14ac:dyDescent="0.25">
      <c r="A25" s="1"/>
      <c r="B25" s="51" t="s">
        <v>25</v>
      </c>
      <c r="C25" s="51" t="s">
        <v>16</v>
      </c>
      <c r="D25" s="52"/>
      <c r="E25" s="51" t="s">
        <v>48</v>
      </c>
      <c r="F25" s="39"/>
      <c r="G25" s="1"/>
    </row>
    <row r="26" spans="1:7" x14ac:dyDescent="0.25">
      <c r="A26" s="1"/>
      <c r="B26" s="27" t="s">
        <v>263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3" t="s">
        <v>190</v>
      </c>
      <c r="C32" s="84"/>
      <c r="D32" s="84"/>
      <c r="E32" s="84"/>
      <c r="F32" s="85"/>
      <c r="G32" s="1"/>
    </row>
    <row r="33" spans="1:7" x14ac:dyDescent="0.25">
      <c r="A33" s="1"/>
      <c r="B33" s="51" t="s">
        <v>25</v>
      </c>
      <c r="C33" s="51" t="s">
        <v>16</v>
      </c>
      <c r="D33" s="52"/>
      <c r="E33" s="51" t="s">
        <v>48</v>
      </c>
      <c r="F33" s="39"/>
      <c r="G33" s="1"/>
    </row>
    <row r="34" spans="1:7" x14ac:dyDescent="0.25">
      <c r="A34" s="1"/>
      <c r="B34" s="27" t="s">
        <v>263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slhx27CxTE6YMP39gWcRTAOc9WOuI67nR3XlZex4K0Kpahbgh7DqQFRCekH+VI1UQDg32ggEBQ/ZdBbzz4WlAA==" saltValue="jO6Ngdn+9PBJAy8VsZ2PM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227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160</v>
      </c>
      <c r="C8" s="84"/>
      <c r="D8" s="84"/>
      <c r="E8" s="84"/>
      <c r="F8" s="85"/>
      <c r="G8" s="1"/>
    </row>
    <row r="9" spans="1:7" x14ac:dyDescent="0.25">
      <c r="A9" s="1"/>
      <c r="B9" s="110" t="s">
        <v>159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3" t="s">
        <v>39</v>
      </c>
      <c r="C11" s="94"/>
      <c r="D11" s="95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83" t="s">
        <v>164</v>
      </c>
      <c r="C12" s="84"/>
      <c r="D12" s="85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161</v>
      </c>
      <c r="C14" s="84"/>
      <c r="D14" s="84"/>
      <c r="E14" s="84"/>
      <c r="F14" s="85"/>
      <c r="G14" s="1"/>
    </row>
    <row r="15" spans="1:7" x14ac:dyDescent="0.25">
      <c r="A15" s="1"/>
      <c r="B15" s="110" t="s">
        <v>159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3" t="s">
        <v>39</v>
      </c>
      <c r="C17" s="94"/>
      <c r="D17" s="95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83" t="s">
        <v>165</v>
      </c>
      <c r="C18" s="84"/>
      <c r="D18" s="85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162</v>
      </c>
      <c r="C20" s="84"/>
      <c r="D20" s="84"/>
      <c r="E20" s="84"/>
      <c r="F20" s="85"/>
      <c r="G20" s="1"/>
    </row>
    <row r="21" spans="1:7" x14ac:dyDescent="0.25">
      <c r="A21" s="1"/>
      <c r="B21" s="110" t="s">
        <v>159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3" t="s">
        <v>39</v>
      </c>
      <c r="C23" s="94"/>
      <c r="D23" s="95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83" t="s">
        <v>166</v>
      </c>
      <c r="C24" s="84"/>
      <c r="D24" s="8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163</v>
      </c>
      <c r="C26" s="84"/>
      <c r="D26" s="84"/>
      <c r="E26" s="84"/>
      <c r="F26" s="85"/>
      <c r="G26" s="1"/>
    </row>
    <row r="27" spans="1:7" x14ac:dyDescent="0.25">
      <c r="A27" s="1"/>
      <c r="B27" s="110" t="s">
        <v>159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3" t="s">
        <v>39</v>
      </c>
      <c r="C29" s="94"/>
      <c r="D29" s="95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83" t="s">
        <v>167</v>
      </c>
      <c r="C30" s="84"/>
      <c r="D30" s="8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OlDnLYQZYJE5jP0Hz3DV1ebPJDpW0X0t/uxeXKEuHYsT5wYtvYEXigMz4N3d2C8OR7zb6oQthX4jY7tzOLV4TQ==" saltValue="zHDd5FwmiD1VA0bae4W7Pw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32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b4dxdKyf6L1gir3aO1RkVNkhyWVot4n0GWVfBUnW7m6JmcaJmD32v4UerxvuyYD0pgvA1fomJB9KND0WfS8nSA==" saltValue="ti/tQtnVzE4Pl+ai0Yt/3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169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170</v>
      </c>
      <c r="C14" s="84"/>
      <c r="D14" s="84"/>
      <c r="E14" s="84"/>
      <c r="F14" s="8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168</v>
      </c>
      <c r="C20" s="84"/>
      <c r="D20" s="84"/>
      <c r="E20" s="84"/>
      <c r="F20" s="8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171</v>
      </c>
      <c r="C26" s="84"/>
      <c r="D26" s="84"/>
      <c r="E26" s="84"/>
      <c r="F26" s="8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D8hICrUT6hFacxaOI/CkFFfDDZOILw/fYiatQl7HEun2hVk84Q7SfqOCAJzFLgYIpz3xybX1fAftLzL2ujtwkQ==" saltValue="rYa05SiXiWCq3SdkO1IUG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18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20251973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-17949963.314814813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2302009.6851851866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1</v>
      </c>
      <c r="H13" s="14" t="s">
        <v>28</v>
      </c>
      <c r="I13" s="1"/>
    </row>
    <row r="14" spans="1:9" x14ac:dyDescent="0.25">
      <c r="A14" s="1"/>
      <c r="B14" s="83" t="s">
        <v>138</v>
      </c>
      <c r="C14" s="84"/>
      <c r="D14" s="84"/>
      <c r="E14" s="84"/>
      <c r="F14" s="85"/>
      <c r="G14" s="12">
        <f>IF(G13 = 0,0,-G12/G13)</f>
        <v>-2302009.6851851866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/oVlaLpxiETmbmCMJTZcWm/1s489/AE868tX64gfR7ZNSFkAodF1wVahB+FGxv69SmJwvSwdc6klpplQniNZA==" saltValue="i2PaM2ilPKLQbsr6vjBBX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39912763.076988921</v>
      </c>
      <c r="D9" s="8" t="s">
        <v>3</v>
      </c>
      <c r="E9" s="1"/>
    </row>
    <row r="10" spans="1:5" ht="17.100000000000001" customHeight="1" x14ac:dyDescent="0.25">
      <c r="A10" s="1"/>
      <c r="B10" s="47" t="s">
        <v>64</v>
      </c>
      <c r="C10" s="7">
        <f>'Fane 10.1. Varige tillæg'!C13</f>
        <v>51404.096700000002</v>
      </c>
      <c r="D10" s="8" t="s">
        <v>3</v>
      </c>
      <c r="E10" s="1"/>
    </row>
    <row r="11" spans="1:5" ht="17.100000000000001" customHeight="1" x14ac:dyDescent="0.25">
      <c r="A11" s="1"/>
      <c r="B11" s="47" t="s">
        <v>65</v>
      </c>
      <c r="C11" s="9">
        <f>'Fane 10.1. Varige tillæg'!E13</f>
        <v>582273.44471999991</v>
      </c>
      <c r="D11" s="8" t="s">
        <v>3</v>
      </c>
      <c r="E11" s="1"/>
    </row>
    <row r="12" spans="1:5" ht="17.100000000000001" customHeight="1" x14ac:dyDescent="0.25">
      <c r="A12" s="1"/>
      <c r="B12" s="47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7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7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7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7" t="s">
        <v>27</v>
      </c>
      <c r="C16" s="9">
        <f>SUM(C9:C15)*'Fane 15. Nøgletal'!C12</f>
        <v>798764.88018265564</v>
      </c>
      <c r="D16" s="8" t="s">
        <v>3</v>
      </c>
      <c r="E16" s="1"/>
    </row>
    <row r="17" spans="1:5" ht="17.100000000000001" customHeight="1" x14ac:dyDescent="0.25">
      <c r="A17" s="1"/>
      <c r="B17" s="47" t="s">
        <v>10</v>
      </c>
      <c r="C17" s="9">
        <f>-SUM(C9:C16)*'Fane 5. Individuelt eff. krav'!G11</f>
        <v>-483138.59060142434</v>
      </c>
      <c r="D17" s="8" t="s">
        <v>3</v>
      </c>
      <c r="E17" s="1"/>
    </row>
    <row r="18" spans="1:5" ht="17.100000000000001" customHeight="1" x14ac:dyDescent="0.25">
      <c r="A18" s="1"/>
      <c r="B18" s="47" t="s">
        <v>39</v>
      </c>
      <c r="C18" s="9">
        <f>-'Fane 4.1. Gen. krav - drift'!G28</f>
        <v>-298894.84640834649</v>
      </c>
      <c r="D18" s="8" t="s">
        <v>3</v>
      </c>
      <c r="E18" s="1"/>
    </row>
    <row r="19" spans="1:5" ht="17.100000000000001" customHeight="1" x14ac:dyDescent="0.25">
      <c r="A19" s="1"/>
      <c r="B19" s="47" t="s">
        <v>40</v>
      </c>
      <c r="C19" s="9">
        <f>-'Fane 4.2. Gen. krav - anlæg'!G25</f>
        <v>-805119.15597040276</v>
      </c>
      <c r="D19" s="8" t="s">
        <v>3</v>
      </c>
      <c r="E19" s="1"/>
    </row>
    <row r="20" spans="1:5" ht="17.100000000000001" customHeight="1" x14ac:dyDescent="0.25">
      <c r="A20" s="1"/>
      <c r="B20" s="48" t="s">
        <v>29</v>
      </c>
      <c r="C20" s="10">
        <f>SUM(C9:C19)</f>
        <v>39758052.905611403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omk.'!C15+'Fane 6. Ikke-påvirkelige omk.'!C19+'Fane 6. Ikke-påvirkelige omk.'!C27</f>
        <v>1665754.3042862401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8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7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7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8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-2302009.6851851866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-324380.01098489133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38797417.513727568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XwTT8TA+Kr+uwY6/ohk/UoXc0NZgzoEaDvlK1WmMjO0/A91gq9smjHyfMVWVoCGvYp0ceVUnfCiz2NFXZJ+50Q==" saltValue="5AVl38gsMZ5cd1w30qfxc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248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biR7XTxEkipyi88K3uqfazMc6GkmsKC53J62CvAuQ6ZYLI66wecfm1Js3MPfjtW9J0fPEwcWVGszxiFdNW5lsQ==" saltValue="84pY4bZloYT5tNEcgTW3x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39758052.905611403</v>
      </c>
      <c r="D9" s="8" t="s">
        <v>3</v>
      </c>
      <c r="E9" s="1"/>
    </row>
    <row r="10" spans="1:5" ht="15" customHeight="1" x14ac:dyDescent="0.25">
      <c r="A10" s="1"/>
      <c r="B10" s="47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7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783233.64224054455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-473744.4114182698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-298687.41338493908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-797664.171248078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38971190.551800668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Nøgletal'!C12)+'Fane 6. Ikke-påvirkelige omk.'!C20+'Fane 6. Ikke-påvirkelige omk.'!C28</f>
        <v>1689431.913480679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40660622.465281345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HbOcIJ8Njwc7A6+vWiHD53BIAk/N5WRNUsyXRPugHqW4vyunLME+CjUbAP88mvVj5a40pyk0VVmou1W6oe6FWQ==" saltValue="Q/LtlZoPXtoJKsPdxaYrq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38971190.551800668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767732.45387047308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-464368.40793142276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-298480.12432004994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-790278.21580768982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38185796.257611975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Nøgletal'!C12)^2+'Fane 6. Ikke-påvirkelige omk.'!C21+'Fane 6. Ikke-påvirkelige omk.'!C29</f>
        <v>1713582.6221762486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39899378.87978822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fIDafAAAMVzU9TnmkCI0GHKTpTWkgHgOpSJ+B+X6MUpThYe9QhtBJBtK4QlP0p922yxFDNcrV6iOpRxbW0Rssw==" saltValue="Tqd1lJwqOqQflzGjoALCV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38185796.257611975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752260.18627495586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-455009.89737973583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-298272.97911377187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-782960.65047398291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37401812.91691944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Nøgletal'!C12)^3+'Fane 6. Ikke-påvirkelige omk.'!C22+'Fane 6. Ikke-påvirkelige omk.'!C30</f>
        <v>1738215.7260331206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39140028.642952561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t374p7/tnM6xwggiyIfHfkjT7LOvrwXHKfH/9R5KzG4ArpIDpwY90pmrPAxNnHPG5LT2UrxhQkiiSfttxLcP8w==" saltValue="5jGSTiX18xyXOu2/GTC/A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243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40781764.998959385</v>
      </c>
      <c r="F9" s="8" t="s">
        <v>3</v>
      </c>
      <c r="G9" s="1"/>
    </row>
    <row r="10" spans="1:7" ht="15" customHeight="1" x14ac:dyDescent="0.25">
      <c r="A10" s="1"/>
      <c r="B10" s="93" t="s">
        <v>64</v>
      </c>
      <c r="C10" s="94"/>
      <c r="D10" s="95"/>
      <c r="E10" s="7">
        <v>0</v>
      </c>
      <c r="F10" s="8" t="s">
        <v>3</v>
      </c>
      <c r="G10" s="1"/>
    </row>
    <row r="11" spans="1:7" ht="15" customHeight="1" x14ac:dyDescent="0.25">
      <c r="A11" s="1"/>
      <c r="B11" s="93" t="s">
        <v>65</v>
      </c>
      <c r="C11" s="94"/>
      <c r="D11" s="95"/>
      <c r="E11" s="9">
        <v>470540.98489999998</v>
      </c>
      <c r="F11" s="8" t="s">
        <v>3</v>
      </c>
      <c r="G11" s="1"/>
    </row>
    <row r="12" spans="1:7" ht="15" customHeight="1" x14ac:dyDescent="0.25">
      <c r="A12" s="1"/>
      <c r="B12" s="93" t="s">
        <v>42</v>
      </c>
      <c r="C12" s="94"/>
      <c r="D12" s="95"/>
      <c r="E12" s="9">
        <v>-439074.54016800004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714212.67039776011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-830548.8822817828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-298053.36029228952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-486078.79452614754</v>
      </c>
      <c r="F19" s="8" t="s">
        <v>3</v>
      </c>
      <c r="G19" s="1"/>
    </row>
    <row r="20" spans="1:7" ht="15" customHeight="1" x14ac:dyDescent="0.25">
      <c r="A20" s="1"/>
      <c r="B20" s="48" t="s">
        <v>29</v>
      </c>
      <c r="C20" s="49"/>
      <c r="D20" s="50"/>
      <c r="E20" s="10">
        <f>SUM(E9:E19)</f>
        <v>39912763.076988921</v>
      </c>
      <c r="F20" s="11" t="s">
        <v>3</v>
      </c>
      <c r="G20" s="1"/>
    </row>
    <row r="21" spans="1:7" ht="15" customHeight="1" x14ac:dyDescent="0.25">
      <c r="A21" s="1"/>
      <c r="B21" s="83" t="s">
        <v>145</v>
      </c>
      <c r="C21" s="84"/>
      <c r="D21" s="84"/>
      <c r="E21" s="84"/>
      <c r="F21" s="8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0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6" t="s">
        <v>240</v>
      </c>
      <c r="C24" s="87"/>
      <c r="D24" s="88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6" t="s">
        <v>17</v>
      </c>
      <c r="C26" s="87"/>
      <c r="D26" s="88"/>
      <c r="E26" s="10">
        <v>2029453.6784866797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89" t="s">
        <v>134</v>
      </c>
      <c r="C28" s="90"/>
      <c r="D28" s="91"/>
      <c r="E28" s="10">
        <v>-586795.20505286846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89" t="s">
        <v>19</v>
      </c>
      <c r="C30" s="90"/>
      <c r="D30" s="91"/>
      <c r="E30" s="10">
        <v>-2302009</v>
      </c>
      <c r="F30" s="11" t="s">
        <v>3</v>
      </c>
      <c r="G30" s="1"/>
    </row>
    <row r="31" spans="1:7" x14ac:dyDescent="0.25">
      <c r="A31" s="1"/>
      <c r="B31" s="83" t="s">
        <v>24</v>
      </c>
      <c r="C31" s="84"/>
      <c r="D31" s="85"/>
      <c r="E31" s="12">
        <f>SUM(E30,E28,E26,E20,E24)</f>
        <v>39053412.550422728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Kc++/Vg5XPu7YtsCRBkKcFib2V1ou8l0s+oYn/eQkNiH12fO7Sehw/8LeV6y0WXCZvxyFTqQKcPvzSk4TrkiDg==" saltValue="EidmdA3QdvFIBRwRTG5J8w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83" t="s">
        <v>94</v>
      </c>
      <c r="C5" s="84"/>
      <c r="D5" s="84"/>
      <c r="E5" s="84"/>
      <c r="F5" s="84"/>
      <c r="G5" s="84"/>
      <c r="H5" s="8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15340944.954585282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0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306818.89909170562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3" t="s">
        <v>95</v>
      </c>
      <c r="C11" s="84"/>
      <c r="D11" s="84"/>
      <c r="E11" s="84"/>
      <c r="F11" s="84"/>
      <c r="G11" s="84"/>
      <c r="H11" s="8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15297223.261464715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-361559.51541102323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0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457369.31267500005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307860.66117457382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3" t="s">
        <v>96</v>
      </c>
      <c r="C19" s="84"/>
      <c r="D19" s="84"/>
      <c r="E19" s="84"/>
      <c r="F19" s="84"/>
      <c r="G19" s="84"/>
      <c r="H19" s="8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15349162.914511316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-446494.89989683917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298053.36029228952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3" t="s">
        <v>97</v>
      </c>
      <c r="C25" s="84"/>
      <c r="D25" s="84"/>
      <c r="E25" s="84"/>
      <c r="F25" s="84"/>
      <c r="G25" s="84"/>
      <c r="H25" s="8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14892325.563012334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52416.757404990007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298894.84640834649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3" t="s">
        <v>100</v>
      </c>
      <c r="C31" s="84"/>
      <c r="D31" s="84"/>
      <c r="E31" s="84"/>
      <c r="F31" s="84"/>
      <c r="G31" s="84"/>
      <c r="H31" s="8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14934370.669246955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298687.41338493908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3" t="s">
        <v>127</v>
      </c>
      <c r="C37" s="84"/>
      <c r="D37" s="84"/>
      <c r="E37" s="84"/>
      <c r="F37" s="84"/>
      <c r="G37" s="84"/>
      <c r="H37" s="8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14924006.216002498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298480.12432004994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3" t="s">
        <v>128</v>
      </c>
      <c r="C43" s="84"/>
      <c r="D43" s="84"/>
      <c r="E43" s="84"/>
      <c r="F43" s="84"/>
      <c r="G43" s="84"/>
      <c r="H43" s="8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14913648.955688592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298272.97911377187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EDMWM+k8ZGcRT/WfuBKzzK7L1kp4FDUD3WdQp+mMfQLJdF7GxHmfWgcWZaoUlz+31dBQNkfMib/FgNI8XmKJw==" saltValue="Y98M1zjPAoNZvddW/MOziw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83" t="s">
        <v>98</v>
      </c>
      <c r="C4" s="84"/>
      <c r="D4" s="84"/>
      <c r="E4" s="84"/>
      <c r="F4" s="84"/>
      <c r="G4" s="84"/>
      <c r="H4" s="8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26862088.258425225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244445.00315166955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3" t="s">
        <v>106</v>
      </c>
      <c r="C9" s="84"/>
      <c r="D9" s="84"/>
      <c r="E9" s="84"/>
      <c r="F9" s="84"/>
      <c r="G9" s="84"/>
      <c r="H9" s="8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27083452.012240842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157321.22143523142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482161.68623606651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3" t="s">
        <v>110</v>
      </c>
      <c r="C16" s="84"/>
      <c r="D16" s="84"/>
      <c r="E16" s="84"/>
      <c r="F16" s="84"/>
      <c r="G16" s="84"/>
      <c r="H16" s="8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27226887.249520209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478493.12754480989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486078.79452614754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3" t="s">
        <v>114</v>
      </c>
      <c r="C22" s="84"/>
      <c r="D22" s="84"/>
      <c r="E22" s="84"/>
      <c r="F22" s="84"/>
      <c r="G22" s="84"/>
      <c r="H22" s="8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27755521.823714886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593744.23158098396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805119.15597040276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3" t="s">
        <v>118</v>
      </c>
      <c r="C28" s="84"/>
      <c r="D28" s="84"/>
      <c r="E28" s="84"/>
      <c r="F28" s="84"/>
      <c r="G28" s="84"/>
      <c r="H28" s="8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28086766.59324218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797664.171248078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3" t="s">
        <v>129</v>
      </c>
      <c r="C34" s="84"/>
      <c r="D34" s="84"/>
      <c r="E34" s="84"/>
      <c r="F34" s="84"/>
      <c r="G34" s="84"/>
      <c r="H34" s="8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27826697.739707388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790278.21580768982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3" t="s">
        <v>130</v>
      </c>
      <c r="C40" s="84"/>
      <c r="D40" s="84"/>
      <c r="E40" s="84"/>
      <c r="F40" s="84"/>
      <c r="G40" s="84"/>
      <c r="H40" s="8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27569036.988520522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782960.65047398291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XzZABtViCCrPcEb4IZIYLcg4fnaiuF7px9TdE+HLBhe0YppGeoGybR+4lXAcPbFkDTpoUNZnPuK2aEZG3okonA==" saltValue="U15+/SKU8Qd5e3aG+ZZ/bg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5.1230460748600357E-3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0.02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1.1685480451122259E-2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9Op0/kmVZ6SYUKDXRGkj9nPXanN3MSmShXhWXIj/qgGIqA0DLtdOcK2Eov2+6kN28gnRUR/TheEiz2EtsexnkQ==" saltValue="3ugq0syZ7iceReA+pUNFZg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2019-10-08T09:43:20Z</dcterms:modified>
</cp:coreProperties>
</file>