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Bornholms Spildevand AS (S010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9" i="40" l="1"/>
  <c r="E16" i="40" l="1"/>
  <c r="E12" i="40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11" i="11" l="1"/>
  <c r="C10" i="37" s="1"/>
  <c r="C12" i="37" s="1"/>
  <c r="C13" i="37" s="1"/>
  <c r="C10" i="2" s="1"/>
  <c r="G11" i="11"/>
  <c r="E11" i="21" l="1"/>
  <c r="C11" i="21"/>
  <c r="E11" i="29"/>
  <c r="C11" i="29"/>
  <c r="C17" i="19"/>
  <c r="C18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11" i="11"/>
  <c r="E10" i="37" s="1"/>
  <c r="E12" i="37" s="1"/>
  <c r="E13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<sst xmlns="http://schemas.openxmlformats.org/spreadsheetml/2006/main" count="676" uniqueCount="271">
  <si>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</si>
  <si>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</si>
  <si>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</si>
  <si>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</si>
  <si>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</si>
  <si>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</si>
  <si>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</si>
  <si>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</si>
  <si>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</si>
  <si>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</si>
  <si>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</si>
  <si>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</si>
  <si>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</si>
  <si>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</si>
  <si>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</si>
  <si>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</si>
  <si>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</si>
  <si>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</si>
  <si>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</si>
  <si>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</si>
  <si>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</si>
  <si>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</si>
  <si>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</si>
  <si>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</si>
  <si>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</si>
  <si>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</si>
  <si>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</si>
  <si>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</si>
  <si>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</si>
  <si>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</si>
  <si>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</si>
  <si>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</si>
  <si>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</si>
  <si>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</si>
  <si>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</si>
  <si>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</si>
  <si>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</si>
  <si>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</si>
  <si>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</si>
  <si>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</si>
  <si>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</si>
  <si>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</si>
  <si>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</si>
  <si>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</si>
  <si>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</si>
  <si>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</si>
  <si>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</si>
  <si>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</si>
  <si>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</si>
  <si>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</si>
  <si>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</si>
  <si>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</si>
  <si>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</si>
  <si>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</si>
  <si>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</si>
  <si>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</si>
  <si>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</si>
  <si>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</si>
  <si>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</si>
  <si>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</si>
  <si>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</si>
  <si>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</si>
  <si>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</si>
  <si>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</si>
  <si>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</si>
  <si>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</si>
  <si>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</si>
  <si>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</si>
  <si>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</si>
  <si>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</si>
  <si>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</si>
  <si>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</si>
  <si>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</si>
  <si>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</si>
  <si>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</si>
  <si>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</si>
  <si>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</si>
  <si>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</si>
  <si>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</si>
  <si>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</si>
  <si>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</si>
  <si>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</si>
  <si>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</si>
  <si>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</si>
  <si>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</si>
  <si>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</si>
  <si>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</si>
  <si>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</si>
  <si>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</si>
  <si>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</si>
  <si>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</si>
  <si>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</si>
  <si>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</si>
  <si>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</si>
  <si>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</si>
  <si>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</si>
  <si>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</si>
  <si>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</si>
  <si>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</si>
  <si>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</si>
  <si>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</si>
  <si>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</si>
  <si>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</si>
  <si>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</si>
  <si>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</si>
  <si>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</si>
  <si>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</si>
  <si>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</si>
  <si>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</si>
  <si>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</si>
  <si>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</si>
  <si>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</si>
  <si>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</si>
  <si>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</si>
  <si>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</si>
  <si>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</si>
  <si>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</si>
  <si>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</si>
  <si>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</si>
  <si>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</si>
  <si>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</si>
  <si>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</si>
  <si>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</si>
  <si>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</si>
  <si>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</si>
  <si>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</si>
  <si>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</si>
  <si>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</si>
  <si>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</si>
  <si>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</si>
  <si>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</si>
  <si>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</si>
  <si>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</si>
  <si>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</si>
  <si>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</si>
  <si>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</si>
  <si>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</si>
  <si>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</si>
  <si>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</si>
  <si>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</si>
  <si>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</si>
  <si>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</si>
  <si>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</si>
  <si>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</si>
  <si>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</si>
  <si>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</si>
  <si>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</si>
  <si>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</si>
  <si>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</si>
  <si>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</si>
  <si>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</si>
  <si>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</si>
  <si>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</si>
  <si>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</si>
  <si>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</si>
  <si>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</si>
  <si>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</si>
  <si>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</si>
  <si>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</si>
  <si>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</si>
  <si>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</si>
  <si>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</si>
  <si>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</si>
  <si>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</si>
  <si>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</si>
  <si>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</si>
  <si>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</si>
  <si>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</si>
  <si>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</si>
  <si>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</si>
  <si>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</si>
  <si>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</si>
  <si>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</si>
  <si>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</si>
  <si>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</si>
  <si>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</si>
  <si>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</si>
  <si>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</si>
  <si>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</si>
  <si>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</si>
  <si>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</si>
  <si>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</si>
  <si>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</si>
  <si>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</si>
  <si>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</si>
  <si>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</si>
  <si>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</si>
  <si>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</si>
  <si>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</si>
  <si>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</si>
  <si>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</si>
  <si>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</si>
  <si>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</si>
  <si>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</si>
  <si>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</si>
  <si>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</si>
  <si>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</si>
  <si>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</si>
  <si>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</si>
  <si>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</si>
  <si>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</si>
  <si>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</si>
  <si>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</si>
  <si>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</si>
  <si>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</si>
  <si>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</si>
  <si>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</si>
  <si>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</si>
  <si>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</si>
  <si>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</si>
  <si>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</si>
  <si>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</si>
  <si>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</si>
  <si>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</si>
  <si>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</si>
  <si>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</si>
  <si>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</si>
  <si>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</si>
  <si>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</si>
  <si>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</si>
  <si>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</si>
  <si>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</si>
  <si>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</si>
  <si>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</si>
  <si>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</si>
  <si>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</si>
  <si>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</si>
  <si>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</si>
  <si>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</si>
  <si>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</si>
  <si>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</si>
  <si>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</si>
  <si>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</si>
  <si>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</si>
  <si>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</si>
  <si>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</si>
  <si>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</si>
  <si>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</si>
  <si>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</si>
  <si>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</si>
  <si>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</si>
  <si>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</si>
  <si>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</si>
  <si>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</si>
  <si>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</si>
  <si>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</si>
  <si>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</si>
  <si>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</si>
  <si>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</si>
  <si>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</si>
  <si>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</si>
  <si>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</si>
  <si>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</si>
  <si>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</si>
  <si>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</si>
  <si>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</si>
  <si>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</si>
  <si>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</si>
  <si>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</si>
  <si>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Nye tilslutninger</t>
  </si>
  <si>
    <t>Ingen engangstillæg</t>
  </si>
  <si>
    <t>Spildevandsafgift</t>
  </si>
  <si>
    <t>Afgift til Forsyningssekretariatet</t>
  </si>
  <si>
    <t>Køb af ydelser og produkter fra andre vandselskaber reguleret af vandsektorloven</t>
  </si>
  <si>
    <t>Selskabsskat</t>
  </si>
  <si>
    <t>Ejendomsskatter</t>
  </si>
  <si>
    <t>Tjenestemandspensioner</t>
  </si>
  <si>
    <t>Erstatninger</t>
  </si>
  <si>
    <t>Ingen anlægsprojekter</t>
  </si>
  <si>
    <t>Anlægsprojekter igangsat senest 1. marts 2016</t>
  </si>
  <si>
    <t>Videreførte omkostninger fra den økonomiske ramme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</si>
</sst>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15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2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25">
      <c r="A8" s="1"/>
      <c r="B8" s="1"/>
      <c r="C8" s="4"/>
      <c r="D8" s="69" t="s">
        <v>172</v>
      </c>
      <c r="E8" s="69"/>
      <c r="F8" s="69"/>
      <c r="G8" s="6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8" t="s">
        <v>5</v>
      </c>
      <c r="E11" s="68"/>
      <c r="F11" s="68"/>
      <c r="G11" s="6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8" t="s">
        <v>52</v>
      </c>
      <c r="E13" s="59"/>
      <c r="F13" s="59"/>
      <c r="G13" s="60"/>
      <c r="H13" s="1"/>
      <c r="I13" s="1"/>
    </row>
    <row r="14" spans="1:9" x14ac:dyDescent="0.25">
      <c r="A14" s="1"/>
      <c r="B14" s="1"/>
      <c r="C14" s="6" t="s">
        <v>23</v>
      </c>
      <c r="D14" s="58" t="s">
        <v>54</v>
      </c>
      <c r="E14" s="59"/>
      <c r="F14" s="59"/>
      <c r="G14" s="60"/>
      <c r="H14" s="1"/>
      <c r="I14" s="1"/>
    </row>
    <row r="15" spans="1:9" x14ac:dyDescent="0.25">
      <c r="A15" s="1"/>
      <c r="B15" s="1"/>
      <c r="C15" s="6" t="s">
        <v>51</v>
      </c>
      <c r="D15" s="58" t="s">
        <v>135</v>
      </c>
      <c r="E15" s="59"/>
      <c r="F15" s="59"/>
      <c r="G15" s="60"/>
      <c r="H15" s="1"/>
      <c r="I15" s="1"/>
    </row>
    <row r="16" spans="1:9" x14ac:dyDescent="0.25">
      <c r="A16" s="1"/>
      <c r="B16" s="1"/>
      <c r="C16" s="6" t="s">
        <v>53</v>
      </c>
      <c r="D16" s="58" t="s">
        <v>136</v>
      </c>
      <c r="E16" s="59"/>
      <c r="F16" s="59"/>
      <c r="G16" s="60"/>
      <c r="H16" s="1"/>
      <c r="I16" s="1"/>
    </row>
    <row r="17" spans="1:9" x14ac:dyDescent="0.25">
      <c r="A17" s="1"/>
      <c r="B17" s="1"/>
      <c r="C17" s="6" t="s">
        <v>241</v>
      </c>
      <c r="D17" s="58" t="s">
        <v>63</v>
      </c>
      <c r="E17" s="59"/>
      <c r="F17" s="59"/>
      <c r="G17" s="60"/>
      <c r="H17" s="1"/>
      <c r="I17" s="1"/>
    </row>
    <row r="18" spans="1:9" x14ac:dyDescent="0.25">
      <c r="A18" s="1"/>
      <c r="B18" s="1"/>
      <c r="C18" s="6" t="s">
        <v>212</v>
      </c>
      <c r="D18" s="70" t="s">
        <v>180</v>
      </c>
      <c r="E18" s="71"/>
      <c r="F18" s="71"/>
      <c r="G18" s="72"/>
      <c r="H18" s="1"/>
      <c r="I18" s="1"/>
    </row>
    <row r="19" spans="1:9" x14ac:dyDescent="0.25">
      <c r="A19" s="1"/>
      <c r="B19" s="1"/>
      <c r="C19" s="6" t="s">
        <v>213</v>
      </c>
      <c r="D19" s="70" t="s">
        <v>181</v>
      </c>
      <c r="E19" s="71"/>
      <c r="F19" s="71"/>
      <c r="G19" s="72"/>
      <c r="H19" s="1"/>
      <c r="I19" s="1"/>
    </row>
    <row r="20" spans="1:9" x14ac:dyDescent="0.25">
      <c r="A20" s="1"/>
      <c r="B20" s="1"/>
      <c r="C20" s="6" t="s">
        <v>7</v>
      </c>
      <c r="D20" s="70" t="s">
        <v>10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214</v>
      </c>
      <c r="D21" s="62" t="s">
        <v>17</v>
      </c>
      <c r="E21" s="63"/>
      <c r="F21" s="63"/>
      <c r="G21" s="64"/>
      <c r="H21" s="1"/>
      <c r="I21" s="1"/>
    </row>
    <row r="22" spans="1:9" x14ac:dyDescent="0.25">
      <c r="A22" s="1"/>
      <c r="B22" s="1"/>
      <c r="C22" s="6" t="s">
        <v>142</v>
      </c>
      <c r="D22" s="65" t="s">
        <v>176</v>
      </c>
      <c r="E22" s="66"/>
      <c r="F22" s="66"/>
      <c r="G22" s="67"/>
      <c r="H22" s="1"/>
      <c r="I22" s="1"/>
    </row>
    <row r="23" spans="1:9" x14ac:dyDescent="0.25">
      <c r="A23" s="1"/>
      <c r="B23" s="1"/>
      <c r="C23" s="6" t="s">
        <v>8</v>
      </c>
      <c r="D23" s="65" t="s">
        <v>249</v>
      </c>
      <c r="E23" s="66"/>
      <c r="F23" s="66"/>
      <c r="G23" s="67"/>
      <c r="H23" s="1"/>
      <c r="I23" s="1"/>
    </row>
    <row r="24" spans="1:9" x14ac:dyDescent="0.25">
      <c r="A24" s="1"/>
      <c r="B24" s="1"/>
      <c r="C24" s="6" t="s">
        <v>9</v>
      </c>
      <c r="D24" s="65" t="s">
        <v>55</v>
      </c>
      <c r="E24" s="66"/>
      <c r="F24" s="66"/>
      <c r="G24" s="67"/>
      <c r="H24" s="1"/>
      <c r="I24" s="1"/>
    </row>
    <row r="25" spans="1:9" x14ac:dyDescent="0.25">
      <c r="A25" s="1"/>
      <c r="B25" s="1"/>
      <c r="C25" s="6" t="s">
        <v>215</v>
      </c>
      <c r="D25" s="65" t="s">
        <v>143</v>
      </c>
      <c r="E25" s="66"/>
      <c r="F25" s="66"/>
      <c r="G25" s="67"/>
      <c r="H25" s="1"/>
      <c r="I25" s="1"/>
    </row>
    <row r="26" spans="1:9" x14ac:dyDescent="0.25">
      <c r="A26" s="1"/>
      <c r="B26" s="1"/>
      <c r="C26" s="6" t="s">
        <v>216</v>
      </c>
      <c r="D26" s="65" t="s">
        <v>144</v>
      </c>
      <c r="E26" s="66"/>
      <c r="F26" s="66"/>
      <c r="G26" s="67"/>
      <c r="H26" s="1"/>
      <c r="I26" s="1"/>
    </row>
    <row r="27" spans="1:9" x14ac:dyDescent="0.25">
      <c r="A27" s="1"/>
      <c r="B27" s="1"/>
      <c r="C27" s="6" t="s">
        <v>217</v>
      </c>
      <c r="D27" s="65" t="s">
        <v>145</v>
      </c>
      <c r="E27" s="66"/>
      <c r="F27" s="66"/>
      <c r="G27" s="67"/>
      <c r="H27" s="1"/>
      <c r="I27" s="1"/>
    </row>
    <row r="28" spans="1:9" x14ac:dyDescent="0.25">
      <c r="A28" s="1"/>
      <c r="B28" s="1"/>
      <c r="C28" s="6" t="s">
        <v>22</v>
      </c>
      <c r="D28" s="65" t="s">
        <v>56</v>
      </c>
      <c r="E28" s="66"/>
      <c r="F28" s="66"/>
      <c r="G28" s="67"/>
      <c r="H28" s="1"/>
      <c r="I28" s="1"/>
    </row>
    <row r="29" spans="1:9" x14ac:dyDescent="0.25">
      <c r="A29" s="1"/>
      <c r="B29" s="1"/>
      <c r="C29" s="6" t="s">
        <v>58</v>
      </c>
      <c r="D29" s="65" t="s">
        <v>57</v>
      </c>
      <c r="E29" s="66"/>
      <c r="F29" s="66"/>
      <c r="G29" s="67"/>
      <c r="H29" s="1"/>
      <c r="I29" s="1"/>
    </row>
    <row r="30" spans="1:9" x14ac:dyDescent="0.25">
      <c r="A30" s="1"/>
      <c r="B30" s="1"/>
      <c r="C30" s="6" t="s">
        <v>59</v>
      </c>
      <c r="D30" s="76" t="s">
        <v>11</v>
      </c>
      <c r="E30" s="77"/>
      <c r="F30" s="77"/>
      <c r="G30" s="78"/>
      <c r="H30" s="1"/>
      <c r="I30" s="1"/>
    </row>
    <row r="31" spans="1:9" x14ac:dyDescent="0.25">
      <c r="A31" s="1"/>
      <c r="B31" s="1"/>
      <c r="C31" s="6" t="s">
        <v>175</v>
      </c>
      <c r="D31" s="73" t="s">
        <v>207</v>
      </c>
      <c r="E31" s="74"/>
      <c r="F31" s="74"/>
      <c r="G31" s="75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qrcmGnDu/xr4yFumOuSbECjUMU7YMxzEsFa0EnzxuI3z35jnZw+QLDY8jDhCD3kVT7AFaVyg6i7NZIAAIj80sQ==" saltValue="Te+kjd1Do+uxW+6ktwEfgg==" spinCount="100000" sheet="1" objects="1" scenarios="1"/>
  <mergeCells count="22"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9" t="s">
        <v>220</v>
      </c>
      <c r="C3" s="79"/>
      <c r="D3" s="79"/>
      <c r="E3" s="1"/>
      <c r="F3" s="1"/>
    </row>
    <row r="4" spans="1:6" ht="15" customHeight="1" x14ac:dyDescent="0.25">
      <c r="A4" s="1"/>
      <c r="B4" s="79"/>
      <c r="C4" s="79"/>
      <c r="D4" s="7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4" t="s">
        <v>66</v>
      </c>
      <c r="C8" s="95"/>
      <c r="D8" s="96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3" t="s">
        <v>261</v>
      </c>
      <c r="C10" s="9">
        <v>1157075</v>
      </c>
      <c r="D10" s="14" t="s">
        <v>3</v>
      </c>
      <c r="E10" s="1"/>
      <c r="F10" s="1"/>
    </row>
    <row r="11" spans="1:6" x14ac:dyDescent="0.25">
      <c r="A11" s="1"/>
      <c r="B11" s="53" t="s">
        <v>262</v>
      </c>
      <c r="C11" s="9">
        <v>44260</v>
      </c>
      <c r="D11" s="14" t="s">
        <v>3</v>
      </c>
      <c r="E11" s="1"/>
      <c r="F11" s="1"/>
    </row>
    <row r="12" spans="1:6" ht="26.25" x14ac:dyDescent="0.25">
      <c r="A12" s="1"/>
      <c r="B12" s="35" t="s">
        <v>263</v>
      </c>
      <c r="C12" s="9">
        <v>449309</v>
      </c>
      <c r="D12" s="14" t="s">
        <v>3</v>
      </c>
      <c r="E12" s="1"/>
      <c r="F12" s="1"/>
    </row>
    <row r="13" spans="1:6" x14ac:dyDescent="0.25">
      <c r="A13" s="1"/>
      <c r="B13" s="53" t="s">
        <v>264</v>
      </c>
      <c r="C13" s="9">
        <v>3388118</v>
      </c>
      <c r="D13" s="14" t="s">
        <v>3</v>
      </c>
      <c r="E13" s="1"/>
      <c r="F13" s="1"/>
    </row>
    <row r="14" spans="1:6" x14ac:dyDescent="0.25">
      <c r="A14" s="1"/>
      <c r="B14" s="53" t="s">
        <v>265</v>
      </c>
      <c r="C14" s="9">
        <v>34420</v>
      </c>
      <c r="D14" s="14" t="s">
        <v>3</v>
      </c>
      <c r="E14" s="1"/>
      <c r="F14" s="1"/>
    </row>
    <row r="15" spans="1:6" x14ac:dyDescent="0.25">
      <c r="A15" s="1"/>
      <c r="B15" s="53" t="s">
        <v>266</v>
      </c>
      <c r="C15" s="9">
        <v>57464</v>
      </c>
      <c r="D15" s="14" t="s">
        <v>3</v>
      </c>
      <c r="E15" s="1"/>
      <c r="F15" s="1"/>
    </row>
    <row r="16" spans="1:6" x14ac:dyDescent="0.25">
      <c r="A16" s="1"/>
      <c r="B16" s="53" t="s">
        <v>267</v>
      </c>
      <c r="C16" s="9">
        <v>60407</v>
      </c>
      <c r="D16" s="14" t="s">
        <v>3</v>
      </c>
      <c r="E16" s="1"/>
      <c r="F16" s="1"/>
    </row>
    <row r="17" spans="1:6" x14ac:dyDescent="0.25">
      <c r="A17" s="1"/>
      <c r="B17" s="40" t="s">
        <v>68</v>
      </c>
      <c r="C17" s="12">
        <f>SUM(C10:C16)</f>
        <v>5191053</v>
      </c>
      <c r="D17" s="13" t="s">
        <v>3</v>
      </c>
      <c r="E17" s="1"/>
      <c r="F17" s="1"/>
    </row>
    <row r="18" spans="1:6" x14ac:dyDescent="0.25">
      <c r="A18" s="1"/>
      <c r="B18" s="40" t="s">
        <v>69</v>
      </c>
      <c r="C18" s="12">
        <f>C17*(1+'Fane 15. Nøgletal'!C12)^2</f>
        <v>5397595.0839587701</v>
      </c>
      <c r="D18" s="13" t="s">
        <v>3</v>
      </c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16"/>
      <c r="C20" s="15"/>
      <c r="D20" s="15"/>
      <c r="E20" s="1"/>
      <c r="F20" s="1"/>
    </row>
    <row r="21" spans="1:6" x14ac:dyDescent="0.25">
      <c r="A21" s="1"/>
      <c r="B21" s="94" t="s">
        <v>236</v>
      </c>
      <c r="C21" s="95"/>
      <c r="D21" s="96"/>
      <c r="E21" s="1"/>
      <c r="F21" s="1"/>
    </row>
    <row r="22" spans="1:6" x14ac:dyDescent="0.25">
      <c r="A22" s="1"/>
      <c r="B22" s="53" t="s">
        <v>197</v>
      </c>
      <c r="C22" s="9">
        <v>1045594</v>
      </c>
      <c r="D22" s="14" t="s">
        <v>3</v>
      </c>
      <c r="E22" s="1"/>
      <c r="F22" s="1"/>
    </row>
    <row r="23" spans="1:6" x14ac:dyDescent="0.25">
      <c r="A23" s="1"/>
      <c r="B23" s="53" t="s">
        <v>198</v>
      </c>
      <c r="C23" s="9">
        <v>1045594</v>
      </c>
      <c r="D23" s="14" t="s">
        <v>3</v>
      </c>
      <c r="E23" s="1"/>
      <c r="F23" s="1"/>
    </row>
    <row r="24" spans="1:6" x14ac:dyDescent="0.25">
      <c r="A24" s="1"/>
      <c r="B24" s="53" t="s">
        <v>199</v>
      </c>
      <c r="C24" s="9">
        <v>1045594</v>
      </c>
      <c r="D24" s="14" t="s">
        <v>3</v>
      </c>
      <c r="E24" s="1"/>
      <c r="F24" s="1"/>
    </row>
    <row r="25" spans="1:6" x14ac:dyDescent="0.25">
      <c r="A25" s="1"/>
      <c r="B25" s="53" t="s">
        <v>200</v>
      </c>
      <c r="C25" s="9">
        <v>1045594</v>
      </c>
      <c r="D25" s="14" t="s">
        <v>3</v>
      </c>
      <c r="E25" s="1"/>
      <c r="F25" s="1"/>
    </row>
    <row r="26" spans="1:6" x14ac:dyDescent="0.25">
      <c r="A26" s="1"/>
      <c r="B26" s="94"/>
      <c r="C26" s="95"/>
      <c r="D26" s="96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94" t="s">
        <v>196</v>
      </c>
      <c r="C29" s="95"/>
      <c r="D29" s="96"/>
      <c r="E29" s="1"/>
      <c r="F29" s="1"/>
    </row>
    <row r="30" spans="1:6" x14ac:dyDescent="0.25">
      <c r="A30" s="1"/>
      <c r="B30" s="53" t="s">
        <v>197</v>
      </c>
      <c r="C30" s="9">
        <v>750000</v>
      </c>
      <c r="D30" s="14" t="s">
        <v>3</v>
      </c>
      <c r="E30" s="1"/>
      <c r="F30" s="1"/>
    </row>
    <row r="31" spans="1:6" x14ac:dyDescent="0.25">
      <c r="A31" s="1"/>
      <c r="B31" s="53" t="s">
        <v>198</v>
      </c>
      <c r="C31" s="9">
        <v>750000</v>
      </c>
      <c r="D31" s="14" t="s">
        <v>3</v>
      </c>
      <c r="E31" s="1"/>
      <c r="F31" s="1"/>
    </row>
    <row r="32" spans="1:6" x14ac:dyDescent="0.25">
      <c r="A32" s="1"/>
      <c r="B32" s="53" t="s">
        <v>199</v>
      </c>
      <c r="C32" s="9">
        <v>750000</v>
      </c>
      <c r="D32" s="14" t="s">
        <v>3</v>
      </c>
      <c r="E32" s="1"/>
      <c r="F32" s="1"/>
    </row>
    <row r="33" spans="1:6" x14ac:dyDescent="0.25">
      <c r="A33" s="1"/>
      <c r="B33" s="53" t="s">
        <v>200</v>
      </c>
      <c r="C33" s="9">
        <v>0</v>
      </c>
      <c r="D33" s="14" t="s">
        <v>3</v>
      </c>
      <c r="E33" s="1"/>
      <c r="F33" s="1"/>
    </row>
    <row r="34" spans="1:6" x14ac:dyDescent="0.25">
      <c r="A34" s="1"/>
      <c r="B34" s="94"/>
      <c r="C34" s="95"/>
      <c r="D34" s="96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</sheetData>
  <sheetProtection algorithmName="SHA-512" hashValue="bjbUE0KQETpTUJVKO2x0CzMu51KT8UWHr7CyIszKeQZHMNlojOBpoRbz8ORGfxfxEHwnSymWCkofQw5jo1TGww==" saltValue="jdEY1D0OJcPU/26G1sSPkQ==" spinCount="100000" sheet="1" objects="1" scenarios="1"/>
  <mergeCells count="6">
    <mergeCell ref="B34:D34"/>
    <mergeCell ref="B3:D4"/>
    <mergeCell ref="B8:D8"/>
    <mergeCell ref="B21:D21"/>
    <mergeCell ref="B29:D29"/>
    <mergeCell ref="B26:D26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4" t="s">
        <v>226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183</v>
      </c>
      <c r="C8" s="95"/>
      <c r="D8" s="95"/>
      <c r="E8" s="95"/>
      <c r="F8" s="96"/>
      <c r="G8" s="1"/>
    </row>
    <row r="9" spans="1:7" x14ac:dyDescent="0.25">
      <c r="A9" s="1"/>
      <c r="B9" s="97" t="s">
        <v>184</v>
      </c>
      <c r="C9" s="98"/>
      <c r="D9" s="99"/>
      <c r="E9" s="9">
        <v>77497951.097141698</v>
      </c>
      <c r="F9" s="14" t="s">
        <v>3</v>
      </c>
      <c r="G9" s="1"/>
    </row>
    <row r="10" spans="1:7" x14ac:dyDescent="0.25">
      <c r="A10" s="1"/>
      <c r="B10" s="97" t="s">
        <v>185</v>
      </c>
      <c r="C10" s="98"/>
      <c r="D10" s="99"/>
      <c r="E10" s="9">
        <v>67086465</v>
      </c>
      <c r="F10" s="14" t="s">
        <v>3</v>
      </c>
      <c r="G10" s="1"/>
    </row>
    <row r="11" spans="1:7" x14ac:dyDescent="0.25">
      <c r="A11" s="1"/>
      <c r="B11" s="97" t="s">
        <v>50</v>
      </c>
      <c r="C11" s="98"/>
      <c r="D11" s="99"/>
      <c r="E11" s="9">
        <v>0</v>
      </c>
      <c r="F11" s="14" t="s">
        <v>3</v>
      </c>
      <c r="G11" s="1"/>
    </row>
    <row r="12" spans="1:7" x14ac:dyDescent="0.25">
      <c r="A12" s="1"/>
      <c r="B12" s="88" t="s">
        <v>186</v>
      </c>
      <c r="C12" s="89"/>
      <c r="D12" s="90"/>
      <c r="E12" s="10">
        <f>E9-(E10-E11)</f>
        <v>10411486.097141698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1" t="s">
        <v>208</v>
      </c>
      <c r="C14" s="82"/>
      <c r="D14" s="82"/>
      <c r="E14" s="82"/>
      <c r="F14" s="83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94" t="s">
        <v>73</v>
      </c>
      <c r="C17" s="95"/>
      <c r="D17" s="95"/>
      <c r="E17" s="95"/>
      <c r="F17" s="96"/>
      <c r="G17" s="1"/>
    </row>
    <row r="18" spans="1:7" x14ac:dyDescent="0.25">
      <c r="A18" s="1"/>
      <c r="B18" s="97" t="s">
        <v>74</v>
      </c>
      <c r="C18" s="98"/>
      <c r="D18" s="99"/>
      <c r="E18" s="9">
        <v>64772536.685007885</v>
      </c>
      <c r="F18" s="14" t="s">
        <v>3</v>
      </c>
      <c r="G18" s="1"/>
    </row>
    <row r="19" spans="1:7" x14ac:dyDescent="0.25">
      <c r="A19" s="1"/>
      <c r="B19" s="97" t="s">
        <v>75</v>
      </c>
      <c r="C19" s="98"/>
      <c r="D19" s="99"/>
      <c r="E19" s="9">
        <v>73021375</v>
      </c>
      <c r="F19" s="14" t="s">
        <v>3</v>
      </c>
      <c r="G19" s="1"/>
    </row>
    <row r="20" spans="1:7" x14ac:dyDescent="0.25">
      <c r="A20" s="1"/>
      <c r="B20" s="97" t="s">
        <v>50</v>
      </c>
      <c r="C20" s="98"/>
      <c r="D20" s="99"/>
      <c r="E20" s="9">
        <v>0</v>
      </c>
      <c r="F20" s="14" t="s">
        <v>3</v>
      </c>
      <c r="G20" s="1"/>
    </row>
    <row r="21" spans="1:7" x14ac:dyDescent="0.25">
      <c r="A21" s="1"/>
      <c r="B21" s="88" t="s">
        <v>76</v>
      </c>
      <c r="C21" s="89"/>
      <c r="D21" s="90"/>
      <c r="E21" s="10">
        <f>E18-(E19-E20)</f>
        <v>-8248838.3149921149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94" t="s">
        <v>179</v>
      </c>
      <c r="C25" s="95"/>
      <c r="D25" s="95"/>
      <c r="E25" s="95"/>
      <c r="F25" s="96"/>
      <c r="G25" s="1"/>
    </row>
    <row r="26" spans="1:7" x14ac:dyDescent="0.25">
      <c r="A26" s="1"/>
      <c r="B26" s="105" t="s">
        <v>174</v>
      </c>
      <c r="C26" s="106"/>
      <c r="D26" s="107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05" t="s">
        <v>204</v>
      </c>
      <c r="C27" s="106"/>
      <c r="D27" s="107"/>
      <c r="E27" s="9">
        <v>2</v>
      </c>
      <c r="F27" s="14" t="s">
        <v>28</v>
      </c>
      <c r="G27" s="1"/>
    </row>
    <row r="28" spans="1:7" x14ac:dyDescent="0.25">
      <c r="A28" s="1"/>
      <c r="B28" s="88" t="s">
        <v>251</v>
      </c>
      <c r="C28" s="89"/>
      <c r="D28" s="90"/>
      <c r="E28" s="10">
        <f>E26/E27</f>
        <v>0</v>
      </c>
      <c r="F28" s="17" t="s">
        <v>3</v>
      </c>
      <c r="G28" s="1"/>
    </row>
    <row r="29" spans="1:7" x14ac:dyDescent="0.25">
      <c r="A29" s="1"/>
      <c r="B29" s="108"/>
      <c r="C29" s="109"/>
      <c r="D29" s="109"/>
      <c r="E29" s="109"/>
      <c r="F29" s="110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TfD2IkCroLh1ixpY3SScyeSfqER6Mntf5tDoG1UvcIf+lMHS8SAxWSYVKtxFtbU6gb9jY+/50gP22iMM7ca/9g==" saltValue="I19IMm1/9zRn+7Ag59HG5A==" spinCount="100000" sheet="1" objects="1" scenarios="1"/>
  <mergeCells count="17">
    <mergeCell ref="B25:F25"/>
    <mergeCell ref="B26:D26"/>
    <mergeCell ref="B29:F29"/>
    <mergeCell ref="B27:D27"/>
    <mergeCell ref="B28:D28"/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4" t="s">
        <v>252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4" t="s">
        <v>177</v>
      </c>
      <c r="C9" s="95"/>
      <c r="D9" s="95"/>
      <c r="E9" s="95"/>
      <c r="F9" s="95"/>
      <c r="G9" s="1"/>
    </row>
    <row r="10" spans="1:7" x14ac:dyDescent="0.25">
      <c r="A10" s="1"/>
      <c r="B10" s="81" t="s">
        <v>201</v>
      </c>
      <c r="C10" s="82"/>
      <c r="D10" s="83"/>
      <c r="E10" s="7">
        <v>0</v>
      </c>
      <c r="F10" s="8" t="s">
        <v>3</v>
      </c>
      <c r="G10" s="1"/>
    </row>
    <row r="11" spans="1:7" x14ac:dyDescent="0.25">
      <c r="A11" s="1"/>
      <c r="B11" s="97" t="s">
        <v>202</v>
      </c>
      <c r="C11" s="98"/>
      <c r="D11" s="99"/>
      <c r="E11" s="7">
        <v>0</v>
      </c>
      <c r="F11" s="8" t="s">
        <v>3</v>
      </c>
      <c r="G11" s="1"/>
    </row>
    <row r="12" spans="1:7" x14ac:dyDescent="0.25">
      <c r="A12" s="1"/>
      <c r="B12" s="88" t="s">
        <v>203</v>
      </c>
      <c r="C12" s="89"/>
      <c r="D12" s="90"/>
      <c r="E12" s="10">
        <f>E11-E10</f>
        <v>0</v>
      </c>
      <c r="F12" s="11" t="s">
        <v>3</v>
      </c>
      <c r="G12" s="1"/>
    </row>
    <row r="13" spans="1:7" x14ac:dyDescent="0.25">
      <c r="A13" s="1"/>
      <c r="B13" s="94" t="s">
        <v>178</v>
      </c>
      <c r="C13" s="95"/>
      <c r="D13" s="95"/>
      <c r="E13" s="95"/>
      <c r="F13" s="95"/>
      <c r="G13" s="1"/>
    </row>
    <row r="14" spans="1:7" x14ac:dyDescent="0.25">
      <c r="A14" s="1"/>
      <c r="B14" s="97" t="s">
        <v>210</v>
      </c>
      <c r="C14" s="98"/>
      <c r="D14" s="99"/>
      <c r="E14" s="9">
        <v>1022215</v>
      </c>
      <c r="F14" s="8" t="s">
        <v>3</v>
      </c>
      <c r="G14" s="1"/>
    </row>
    <row r="15" spans="1:7" x14ac:dyDescent="0.25">
      <c r="A15" s="1"/>
      <c r="B15" s="81" t="s">
        <v>211</v>
      </c>
      <c r="C15" s="82"/>
      <c r="D15" s="83"/>
      <c r="E15" s="9">
        <v>680193</v>
      </c>
      <c r="F15" s="8" t="s">
        <v>3</v>
      </c>
      <c r="G15" s="1"/>
    </row>
    <row r="16" spans="1:7" x14ac:dyDescent="0.25">
      <c r="A16" s="1"/>
      <c r="B16" s="88" t="s">
        <v>203</v>
      </c>
      <c r="C16" s="89"/>
      <c r="D16" s="90"/>
      <c r="E16" s="10">
        <f>E15-E14</f>
        <v>-342022</v>
      </c>
      <c r="F16" s="11" t="s">
        <v>3</v>
      </c>
      <c r="G16" s="1"/>
    </row>
    <row r="17" spans="1:7" ht="15" customHeight="1" x14ac:dyDescent="0.25">
      <c r="A17" s="1"/>
      <c r="B17" s="94" t="s">
        <v>173</v>
      </c>
      <c r="C17" s="95"/>
      <c r="D17" s="95"/>
      <c r="E17" s="95"/>
      <c r="F17" s="95"/>
      <c r="G17" s="1"/>
    </row>
    <row r="18" spans="1:7" ht="28.15" customHeight="1" x14ac:dyDescent="0.25">
      <c r="A18" s="1"/>
      <c r="B18" s="81" t="s">
        <v>258</v>
      </c>
      <c r="C18" s="82"/>
      <c r="D18" s="83"/>
      <c r="E18" s="9">
        <v>0</v>
      </c>
      <c r="F18" s="8" t="s">
        <v>3</v>
      </c>
      <c r="G18" s="1"/>
    </row>
    <row r="19" spans="1:7" ht="29.25" customHeight="1" x14ac:dyDescent="0.25">
      <c r="A19" s="1"/>
      <c r="B19" s="91" t="s">
        <v>182</v>
      </c>
      <c r="C19" s="92"/>
      <c r="D19" s="93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10071.466755434813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-331950.53324456519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FjLlwt59NP8yJsmnkBOWx8pX5mcJyKZ+1w9nhWU5QnJp+7bY+Ijr5rOXq7dSqFbgbdkyyW1YTpuAWSuifUWZQw==" saltValue="hkqjBuT7T9UaAmEaCQsBMA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253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254</v>
      </c>
      <c r="C8" s="95"/>
      <c r="D8" s="95"/>
      <c r="E8" s="95"/>
      <c r="F8" s="95"/>
      <c r="G8" s="95"/>
      <c r="H8" s="96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x14ac:dyDescent="0.25">
      <c r="A10" s="1"/>
      <c r="B10" s="55" t="s">
        <v>268</v>
      </c>
      <c r="C10" s="56"/>
      <c r="D10" s="9"/>
      <c r="E10" s="9"/>
      <c r="F10" s="9"/>
      <c r="G10" s="9"/>
      <c r="H10" s="14" t="s">
        <v>3</v>
      </c>
      <c r="I10" s="1"/>
    </row>
    <row r="11" spans="1:9" x14ac:dyDescent="0.25">
      <c r="A11" s="1"/>
      <c r="B11" s="94" t="s">
        <v>255</v>
      </c>
      <c r="C11" s="95"/>
      <c r="D11" s="96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r/GHmxYlrdV+qWCIznhBOKHl1x4wVgrjAtJQ9UD/lJEynG1/EL3DKl/kLSArYUkCPXiK+YlE3toI/hnUKcw2Q==" saltValue="N2EdTkoMuWfhHaYWyClfR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225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269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57" t="s">
        <v>259</v>
      </c>
      <c r="C11" s="24">
        <v>0</v>
      </c>
      <c r="D11" s="14" t="s">
        <v>3</v>
      </c>
      <c r="E11" s="9">
        <v>58981</v>
      </c>
      <c r="F11" s="14" t="s">
        <v>3</v>
      </c>
      <c r="G11" s="1"/>
    </row>
    <row r="12" spans="1:7" x14ac:dyDescent="0.25">
      <c r="A12" s="1"/>
      <c r="B12" s="40" t="s">
        <v>60</v>
      </c>
      <c r="C12" s="12">
        <f>SUM(C10:C11)</f>
        <v>0</v>
      </c>
      <c r="D12" s="13" t="s">
        <v>3</v>
      </c>
      <c r="E12" s="12">
        <f>SUM(E10:E11)</f>
        <v>58981</v>
      </c>
      <c r="F12" s="13" t="s">
        <v>3</v>
      </c>
      <c r="G12" s="1"/>
    </row>
    <row r="13" spans="1:7" x14ac:dyDescent="0.25">
      <c r="A13" s="1"/>
      <c r="B13" s="40" t="s">
        <v>70</v>
      </c>
      <c r="C13" s="12">
        <f>C12*(1+'Fane 15. Nøgletal'!C12)</f>
        <v>0</v>
      </c>
      <c r="D13" s="13" t="s">
        <v>3</v>
      </c>
      <c r="E13" s="12">
        <f>E12*(1+'Fane 15. Nøgletal'!C12)</f>
        <v>60142.9257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M5ArT270eho2MNA5+AJvDxBgZAc3b2WZcbn+q1HmR83q3TBCeTB72WnsLiNd6qYFQkLC3sqDWJsaoBpMTS4x6A==" saltValue="MPu7niPzmbAnMqMN+pNTA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224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187</v>
      </c>
      <c r="C8" s="95"/>
      <c r="D8" s="95"/>
      <c r="E8" s="95"/>
      <c r="F8" s="96"/>
      <c r="G8" s="1"/>
    </row>
    <row r="9" spans="1:7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260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4" t="s">
        <v>188</v>
      </c>
      <c r="C16" s="95"/>
      <c r="D16" s="95"/>
      <c r="E16" s="95"/>
      <c r="F16" s="96"/>
      <c r="G16" s="1"/>
    </row>
    <row r="17" spans="1:7" x14ac:dyDescent="0.25">
      <c r="A17" s="1"/>
      <c r="B17" s="49" t="s">
        <v>25</v>
      </c>
      <c r="C17" s="49" t="s">
        <v>16</v>
      </c>
      <c r="D17" s="50"/>
      <c r="E17" s="49" t="s">
        <v>48</v>
      </c>
      <c r="F17" s="39"/>
      <c r="G17" s="1"/>
    </row>
    <row r="18" spans="1:7" x14ac:dyDescent="0.25">
      <c r="A18" s="1"/>
      <c r="B18" s="27" t="s">
        <v>260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4" t="s">
        <v>189</v>
      </c>
      <c r="C24" s="95"/>
      <c r="D24" s="95"/>
      <c r="E24" s="95"/>
      <c r="F24" s="96"/>
      <c r="G24" s="1"/>
    </row>
    <row r="25" spans="1:7" x14ac:dyDescent="0.25">
      <c r="A25" s="1"/>
      <c r="B25" s="49" t="s">
        <v>25</v>
      </c>
      <c r="C25" s="49" t="s">
        <v>16</v>
      </c>
      <c r="D25" s="50"/>
      <c r="E25" s="49" t="s">
        <v>48</v>
      </c>
      <c r="F25" s="39"/>
      <c r="G25" s="1"/>
    </row>
    <row r="26" spans="1:7" x14ac:dyDescent="0.25">
      <c r="A26" s="1"/>
      <c r="B26" s="27" t="s">
        <v>260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4" t="s">
        <v>190</v>
      </c>
      <c r="C32" s="95"/>
      <c r="D32" s="95"/>
      <c r="E32" s="95"/>
      <c r="F32" s="96"/>
      <c r="G32" s="1"/>
    </row>
    <row r="33" spans="1:7" x14ac:dyDescent="0.25">
      <c r="A33" s="1"/>
      <c r="B33" s="49" t="s">
        <v>25</v>
      </c>
      <c r="C33" s="49" t="s">
        <v>16</v>
      </c>
      <c r="D33" s="50"/>
      <c r="E33" s="49" t="s">
        <v>48</v>
      </c>
      <c r="F33" s="39"/>
      <c r="G33" s="1"/>
    </row>
    <row r="34" spans="1:7" x14ac:dyDescent="0.25">
      <c r="A34" s="1"/>
      <c r="B34" s="27" t="s">
        <v>260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w2R2NwTPPDkIt1Qspf3PlCCEVVFo2s6IUjTjarEUpqTgcFb9ozmeR6WQBQRRXf+SWrd980ITO4LTU5W6Srf+fA==" saltValue="qHTxgGsHYdSCqaPhDIY4x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227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4"/>
      <c r="C5" s="84"/>
      <c r="D5" s="84"/>
      <c r="E5" s="84"/>
      <c r="F5" s="8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160</v>
      </c>
      <c r="C8" s="95"/>
      <c r="D8" s="95"/>
      <c r="E8" s="95"/>
      <c r="F8" s="96"/>
      <c r="G8" s="1"/>
    </row>
    <row r="9" spans="1:7" x14ac:dyDescent="0.25">
      <c r="A9" s="1"/>
      <c r="B9" s="111" t="s">
        <v>159</v>
      </c>
      <c r="C9" s="112"/>
      <c r="D9" s="113"/>
      <c r="E9" s="9">
        <v>0</v>
      </c>
      <c r="F9" s="14" t="s">
        <v>3</v>
      </c>
      <c r="G9" s="1"/>
    </row>
    <row r="10" spans="1:7" x14ac:dyDescent="0.25">
      <c r="A10" s="1"/>
      <c r="B10" s="85" t="s">
        <v>10</v>
      </c>
      <c r="C10" s="86"/>
      <c r="D10" s="87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5" t="s">
        <v>39</v>
      </c>
      <c r="C11" s="86"/>
      <c r="D11" s="87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94" t="s">
        <v>164</v>
      </c>
      <c r="C12" s="95"/>
      <c r="D12" s="96"/>
      <c r="E12" s="12">
        <f>SUM(E9:E11)*(1+'Fane 15. Nøgletal'!C12)^2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4" t="s">
        <v>161</v>
      </c>
      <c r="C14" s="95"/>
      <c r="D14" s="95"/>
      <c r="E14" s="95"/>
      <c r="F14" s="96"/>
      <c r="G14" s="1"/>
    </row>
    <row r="15" spans="1:7" x14ac:dyDescent="0.25">
      <c r="A15" s="1"/>
      <c r="B15" s="111" t="s">
        <v>159</v>
      </c>
      <c r="C15" s="112"/>
      <c r="D15" s="113"/>
      <c r="E15" s="9">
        <v>0</v>
      </c>
      <c r="F15" s="14" t="s">
        <v>3</v>
      </c>
      <c r="G15" s="1"/>
    </row>
    <row r="16" spans="1:7" x14ac:dyDescent="0.25">
      <c r="A16" s="1"/>
      <c r="B16" s="85" t="s">
        <v>10</v>
      </c>
      <c r="C16" s="86"/>
      <c r="D16" s="87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5" t="s">
        <v>39</v>
      </c>
      <c r="C17" s="86"/>
      <c r="D17" s="87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94" t="s">
        <v>165</v>
      </c>
      <c r="C18" s="95"/>
      <c r="D18" s="96"/>
      <c r="E18" s="12">
        <f>SUM(E15:E17)*(1+'Fane 15. Nøgletal'!C12)^3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4" t="s">
        <v>162</v>
      </c>
      <c r="C20" s="95"/>
      <c r="D20" s="95"/>
      <c r="E20" s="95"/>
      <c r="F20" s="96"/>
      <c r="G20" s="1"/>
    </row>
    <row r="21" spans="1:7" x14ac:dyDescent="0.25">
      <c r="A21" s="1"/>
      <c r="B21" s="111" t="s">
        <v>159</v>
      </c>
      <c r="C21" s="112"/>
      <c r="D21" s="113"/>
      <c r="E21" s="9">
        <v>0</v>
      </c>
      <c r="F21" s="14" t="s">
        <v>3</v>
      </c>
      <c r="G21" s="1"/>
    </row>
    <row r="22" spans="1:7" x14ac:dyDescent="0.25">
      <c r="A22" s="1"/>
      <c r="B22" s="85" t="s">
        <v>10</v>
      </c>
      <c r="C22" s="86"/>
      <c r="D22" s="87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5" t="s">
        <v>39</v>
      </c>
      <c r="C23" s="86"/>
      <c r="D23" s="87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94" t="s">
        <v>166</v>
      </c>
      <c r="C24" s="95"/>
      <c r="D24" s="96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4" t="s">
        <v>163</v>
      </c>
      <c r="C26" s="95"/>
      <c r="D26" s="95"/>
      <c r="E26" s="95"/>
      <c r="F26" s="96"/>
      <c r="G26" s="1"/>
    </row>
    <row r="27" spans="1:7" x14ac:dyDescent="0.25">
      <c r="A27" s="1"/>
      <c r="B27" s="111" t="s">
        <v>159</v>
      </c>
      <c r="C27" s="112"/>
      <c r="D27" s="113"/>
      <c r="E27" s="9">
        <v>0</v>
      </c>
      <c r="F27" s="14" t="s">
        <v>3</v>
      </c>
      <c r="G27" s="1"/>
    </row>
    <row r="28" spans="1:7" x14ac:dyDescent="0.25">
      <c r="A28" s="1"/>
      <c r="B28" s="85" t="s">
        <v>10</v>
      </c>
      <c r="C28" s="86"/>
      <c r="D28" s="87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5" t="s">
        <v>39</v>
      </c>
      <c r="C29" s="86"/>
      <c r="D29" s="87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94" t="s">
        <v>167</v>
      </c>
      <c r="C30" s="95"/>
      <c r="D30" s="96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Ri5U5lHs6h7R0c+BOlxnvr5XtliF0gQpHF8aaPC8AQknnlue7TAeYOyzbOAjUiZUdYpHHdwUKEty2sq7Up+/dw==" saltValue="j/OFoGdqr4oPB5NU5DX+Tw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223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32</v>
      </c>
      <c r="C8" s="95"/>
      <c r="D8" s="95"/>
      <c r="E8" s="95"/>
      <c r="F8" s="96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N6cdGsturhHQ2EPoQMZ6PsEWQSDw5cXF0+muoQZhOSsh02eTxUsf0ohhgG9zzMDNhkdMWcj0oVePUE4O4mmNkg==" saltValue="L5T1XRS1h4oXVdvdL+oSVQ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222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169</v>
      </c>
      <c r="C8" s="95"/>
      <c r="D8" s="95"/>
      <c r="E8" s="95"/>
      <c r="F8" s="96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4" t="s">
        <v>170</v>
      </c>
      <c r="C14" s="95"/>
      <c r="D14" s="95"/>
      <c r="E14" s="95"/>
      <c r="F14" s="96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4" t="s">
        <v>168</v>
      </c>
      <c r="C20" s="95"/>
      <c r="D20" s="95"/>
      <c r="E20" s="95"/>
      <c r="F20" s="96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4" t="s">
        <v>171</v>
      </c>
      <c r="C26" s="95"/>
      <c r="D26" s="95"/>
      <c r="E26" s="95"/>
      <c r="F26" s="96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iNIqs6GEKuMitjbgGwkW9O7l9bRb/cPiE3MQ/1Ll8ny7iyXjAJ8Od8eqEMGpJ/J6eRhDYsqKGTCLVHMPfIao9A==" saltValue="Ot2RK/d/m+Y1x4a7RRpBR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221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18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7" t="s">
        <v>12</v>
      </c>
      <c r="C9" s="98"/>
      <c r="D9" s="98"/>
      <c r="E9" s="98"/>
      <c r="F9" s="99"/>
      <c r="G9" s="9">
        <v>-3969510</v>
      </c>
      <c r="H9" s="14" t="s">
        <v>3</v>
      </c>
      <c r="I9" s="1"/>
    </row>
    <row r="10" spans="1:9" x14ac:dyDescent="0.25">
      <c r="A10" s="1"/>
      <c r="B10" s="97" t="s">
        <v>137</v>
      </c>
      <c r="C10" s="98"/>
      <c r="D10" s="98"/>
      <c r="E10" s="98"/>
      <c r="F10" s="99"/>
      <c r="G10" s="9">
        <v>0</v>
      </c>
      <c r="H10" s="14" t="s">
        <v>3</v>
      </c>
      <c r="I10" s="1"/>
    </row>
    <row r="11" spans="1:9" x14ac:dyDescent="0.25">
      <c r="A11" s="1"/>
      <c r="B11" s="97" t="s">
        <v>77</v>
      </c>
      <c r="C11" s="98"/>
      <c r="D11" s="98"/>
      <c r="E11" s="98"/>
      <c r="F11" s="99"/>
      <c r="G11" s="9">
        <v>3969510.333333333</v>
      </c>
      <c r="H11" s="14" t="s">
        <v>3</v>
      </c>
      <c r="I11" s="1"/>
    </row>
    <row r="12" spans="1:9" x14ac:dyDescent="0.25">
      <c r="A12" s="1"/>
      <c r="B12" s="114" t="s">
        <v>15</v>
      </c>
      <c r="C12" s="115"/>
      <c r="D12" s="115"/>
      <c r="E12" s="115"/>
      <c r="F12" s="116"/>
      <c r="G12" s="19">
        <f>(G9+G10)+G11</f>
        <v>0.33333333302289248</v>
      </c>
      <c r="H12" s="18" t="s">
        <v>3</v>
      </c>
      <c r="I12" s="1"/>
    </row>
    <row r="13" spans="1:9" x14ac:dyDescent="0.25">
      <c r="A13" s="1"/>
      <c r="B13" s="97" t="s">
        <v>13</v>
      </c>
      <c r="C13" s="98"/>
      <c r="D13" s="98"/>
      <c r="E13" s="98"/>
      <c r="F13" s="99"/>
      <c r="G13" s="9">
        <v>0</v>
      </c>
      <c r="H13" s="14" t="s">
        <v>28</v>
      </c>
      <c r="I13" s="1"/>
    </row>
    <row r="14" spans="1:9" x14ac:dyDescent="0.25">
      <c r="A14" s="1"/>
      <c r="B14" s="94" t="s">
        <v>138</v>
      </c>
      <c r="C14" s="95"/>
      <c r="D14" s="95"/>
      <c r="E14" s="95"/>
      <c r="F14" s="96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1W6HGmjFoTXDSvLjBwtgnsnD6x3iJWUNrvgxMT6dz2cBtgcYWpXBpo3oWCHJrmhOJ9EazXmOyPD98wjQIV1W0w==" saltValue="HgIywBsQgpr+iaeVZ8acN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62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67654063.476079836</v>
      </c>
      <c r="D9" s="8" t="s">
        <v>3</v>
      </c>
      <c r="E9" s="1"/>
    </row>
    <row r="10" spans="1:5" ht="17.100000000000001" customHeight="1" x14ac:dyDescent="0.25">
      <c r="A10" s="1"/>
      <c r="B10" s="52" t="s">
        <v>64</v>
      </c>
      <c r="C10" s="7">
        <f>'Fane 10.1. Varige tillæg'!C13</f>
        <v>0</v>
      </c>
      <c r="D10" s="8" t="s">
        <v>3</v>
      </c>
      <c r="E10" s="1"/>
    </row>
    <row r="11" spans="1:5" ht="17.100000000000001" customHeight="1" x14ac:dyDescent="0.25">
      <c r="A11" s="1"/>
      <c r="B11" s="52" t="s">
        <v>65</v>
      </c>
      <c r="C11" s="9">
        <f>'Fane 10.1. Varige tillæg'!E13</f>
        <v>60142.9257</v>
      </c>
      <c r="D11" s="8" t="s">
        <v>3</v>
      </c>
      <c r="E11" s="1"/>
    </row>
    <row r="12" spans="1:5" ht="17.100000000000001" customHeight="1" x14ac:dyDescent="0.25">
      <c r="A12" s="1"/>
      <c r="B12" s="52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2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2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52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52" t="s">
        <v>27</v>
      </c>
      <c r="C16" s="9">
        <f>SUM(C9:C15)*'Fane 15. Nøgletal'!C12</f>
        <v>1333969.8661150625</v>
      </c>
      <c r="D16" s="8" t="s">
        <v>3</v>
      </c>
      <c r="E16" s="1"/>
    </row>
    <row r="17" spans="1:5" ht="17.100000000000001" customHeight="1" x14ac:dyDescent="0.25">
      <c r="A17" s="1"/>
      <c r="B17" s="52" t="s">
        <v>10</v>
      </c>
      <c r="C17" s="9">
        <f>-SUM(C9:C16)*'Fane 5. Individuelt eff. krav'!G11</f>
        <v>-237008.48251925633</v>
      </c>
      <c r="D17" s="8" t="s">
        <v>3</v>
      </c>
      <c r="E17" s="1"/>
    </row>
    <row r="18" spans="1:5" ht="17.100000000000001" customHeight="1" x14ac:dyDescent="0.25">
      <c r="A18" s="1"/>
      <c r="B18" s="52" t="s">
        <v>39</v>
      </c>
      <c r="C18" s="9">
        <f>-'Fane 4.1. Gen. krav - drift'!G28</f>
        <v>-565604.85261344886</v>
      </c>
      <c r="D18" s="8" t="s">
        <v>3</v>
      </c>
      <c r="E18" s="1"/>
    </row>
    <row r="19" spans="1:5" ht="17.100000000000001" customHeight="1" x14ac:dyDescent="0.25">
      <c r="A19" s="1"/>
      <c r="B19" s="52" t="s">
        <v>40</v>
      </c>
      <c r="C19" s="9">
        <f>-'Fane 4.2. Gen. krav - anlæg'!G25</f>
        <v>-1163644.7645856238</v>
      </c>
      <c r="D19" s="8" t="s">
        <v>3</v>
      </c>
      <c r="E19" s="1"/>
    </row>
    <row r="20" spans="1:5" ht="17.100000000000001" customHeight="1" x14ac:dyDescent="0.25">
      <c r="A20" s="1"/>
      <c r="B20" s="46" t="s">
        <v>29</v>
      </c>
      <c r="C20" s="10">
        <f>SUM(C9:C19)</f>
        <v>67081918.168176569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omk.'!C18+'Fane 6. Ikke-påvirkelige omk.'!C22+'Fane 6. Ikke-påvirkelige omk.'!C30</f>
        <v>7193189.0839587701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6" t="s">
        <v>145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52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2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6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0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0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-331950.53324456519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73943156.718890771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snjapW+DAqQuURKc3uxjJNlb8dHJdhkWyh8ZhjXbA/17RxIHNdh4q1wyV8xLp19VqM36V8nJwbRFb7uYi+u73Q==" saltValue="YGdWfLCPp1EdtUzxms2pe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4" t="s">
        <v>248</v>
      </c>
      <c r="C3" s="84"/>
      <c r="D3" s="1"/>
    </row>
    <row r="4" spans="1:4" ht="25.5" customHeight="1" x14ac:dyDescent="0.25">
      <c r="A4" s="1"/>
      <c r="B4" s="84"/>
      <c r="C4" s="8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3" t="s">
        <v>228</v>
      </c>
      <c r="C9" s="28">
        <v>1.2699999999999999E-2</v>
      </c>
      <c r="D9" s="1"/>
    </row>
    <row r="10" spans="1:4" x14ac:dyDescent="0.25">
      <c r="A10" s="1"/>
      <c r="B10" s="53" t="s">
        <v>229</v>
      </c>
      <c r="C10" s="28">
        <v>1.7500000000000002E-2</v>
      </c>
      <c r="D10" s="1"/>
    </row>
    <row r="11" spans="1:4" x14ac:dyDescent="0.25">
      <c r="A11" s="1"/>
      <c r="B11" s="53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3" t="s">
        <v>231</v>
      </c>
      <c r="C17" s="25">
        <v>9.1000000000000004E-3</v>
      </c>
      <c r="D17" s="1"/>
    </row>
    <row r="18" spans="1:4" x14ac:dyDescent="0.25">
      <c r="A18" s="1"/>
      <c r="B18" s="53" t="s">
        <v>232</v>
      </c>
      <c r="C18" s="25">
        <v>1.77E-2</v>
      </c>
      <c r="D18" s="1"/>
    </row>
    <row r="19" spans="1:4" x14ac:dyDescent="0.25">
      <c r="A19" s="1"/>
      <c r="B19" s="53" t="s">
        <v>233</v>
      </c>
      <c r="C19" s="25">
        <v>8.6999999999999994E-3</v>
      </c>
      <c r="D19" s="1"/>
    </row>
    <row r="20" spans="1:4" x14ac:dyDescent="0.25">
      <c r="A20" s="1"/>
      <c r="B20" s="53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3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fPhyi9EgAwuZ2gbbDmRmsJlwTDf/eEpQqWEL3RKbfdJa2gVaOzpaaHuMo2RQqPeztYJMp9XwbBBNkcYzojMYtQ==" saltValue="+AgXjSev+FtadOK4AXROg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82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67081918.168176569</v>
      </c>
      <c r="D9" s="8" t="s">
        <v>3</v>
      </c>
      <c r="E9" s="1"/>
    </row>
    <row r="10" spans="1:5" ht="15" customHeight="1" x14ac:dyDescent="0.25">
      <c r="A10" s="1"/>
      <c r="B10" s="52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2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1321513.7879130784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-234795.39190320575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-565212.32284573512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-1152870.0191608386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66450554.22217986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omk.'!C18*(1+'Fane 15. Nøgletal'!C12)+'Fane 6. Ikke-påvirkelige omk.'!C23+'Fane 6. Ikke-påvirkelige omk.'!C31</f>
        <v>7299521.7071127584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0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73750075.929292619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uZyFF3OjtzboKkMAEv/glcBWG7PuYBryNf8rOW++BCGQAG0xqlBJhR74fhsYXEgmmRYoFbqAnMfsQHigoQQUNw==" saltValue="QuSTMnDhtJa6tNU7bBCZ2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246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2.2. Økonomisk ramme 2021'!C16</f>
        <v>66450554.22217986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1309075.9181769432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-232585.53641335221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-564820.06549368019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-1142195.0422758192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65820029.496173956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omk.'!C18*(1+'Fane 15. Nøgletal'!C12)^2+'Fane 6. Ikke-påvirkelige omk.'!C24+'Fane 6. Ikke-påvirkelige omk.'!C32</f>
        <v>7407949.0829428798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73227978.579116836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k5ghchB8p0qFNZqUnyHZ3KVIHRHG0puREdp1eEZtllZJL3384XRTS07NqGfNHBPok3sLxh4sMnZwl2pNVhGYlA==" saltValue="bwgrB7HjUbwfcI2eIdTO9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247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270</v>
      </c>
      <c r="C9" s="7">
        <f>'Fane 2.3. Økonomisk ramme 2022'!C16</f>
        <v>65820029.496173956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1296654.5810746269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-230378.61830203547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-564428.08036822756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-1131618.9101257673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65190258.468452558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omk.'!C18*(1+'Fane 15. Nøgletal'!C12)^3+'Fane 6. Ikke-påvirkelige omk.'!C25+'Fane 6. Ikke-påvirkelige omk.'!C33</f>
        <v>6768512.4780768538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71958770.946529418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FArLv53ODQf3r1gMvJPCxd3Yxu0bi7dOVs9eYUSbiwPUDTAnUvZm/MmCsjuH30ikyfxt6eDesvLGTxnFs8YGKw==" saltValue="Pm/UtTcM2Bigsk3TKHFLe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243</v>
      </c>
      <c r="C3" s="84"/>
      <c r="D3" s="84"/>
      <c r="E3" s="84"/>
      <c r="F3" s="84"/>
      <c r="G3" s="1"/>
    </row>
    <row r="4" spans="1:7" ht="29.2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1" t="s">
        <v>79</v>
      </c>
      <c r="C9" s="82"/>
      <c r="D9" s="83"/>
      <c r="E9" s="7">
        <v>67727650.69984296</v>
      </c>
      <c r="F9" s="8" t="s">
        <v>3</v>
      </c>
      <c r="G9" s="1"/>
    </row>
    <row r="10" spans="1:7" ht="15" customHeight="1" x14ac:dyDescent="0.25">
      <c r="A10" s="1"/>
      <c r="B10" s="85" t="s">
        <v>64</v>
      </c>
      <c r="C10" s="86"/>
      <c r="D10" s="87"/>
      <c r="E10" s="7">
        <v>0</v>
      </c>
      <c r="F10" s="8" t="s">
        <v>3</v>
      </c>
      <c r="G10" s="1"/>
    </row>
    <row r="11" spans="1:7" ht="15" customHeight="1" x14ac:dyDescent="0.25">
      <c r="A11" s="1"/>
      <c r="B11" s="85" t="s">
        <v>65</v>
      </c>
      <c r="C11" s="86"/>
      <c r="D11" s="87"/>
      <c r="E11" s="9">
        <v>29356.886099999996</v>
      </c>
      <c r="F11" s="8" t="s">
        <v>3</v>
      </c>
      <c r="G11" s="1"/>
    </row>
    <row r="12" spans="1:7" ht="15" customHeight="1" x14ac:dyDescent="0.25">
      <c r="A12" s="1"/>
      <c r="B12" s="85" t="s">
        <v>42</v>
      </c>
      <c r="C12" s="86"/>
      <c r="D12" s="87"/>
      <c r="E12" s="9">
        <v>0</v>
      </c>
      <c r="F12" s="8" t="s">
        <v>3</v>
      </c>
      <c r="G12" s="1"/>
    </row>
    <row r="13" spans="1:7" ht="15" customHeight="1" x14ac:dyDescent="0.25">
      <c r="A13" s="1"/>
      <c r="B13" s="81" t="s">
        <v>41</v>
      </c>
      <c r="C13" s="82"/>
      <c r="D13" s="83"/>
      <c r="E13" s="9">
        <v>0</v>
      </c>
      <c r="F13" s="8" t="s">
        <v>3</v>
      </c>
      <c r="G13" s="1"/>
    </row>
    <row r="14" spans="1:7" ht="15" customHeight="1" x14ac:dyDescent="0.25">
      <c r="A14" s="1"/>
      <c r="B14" s="81" t="s">
        <v>44</v>
      </c>
      <c r="C14" s="82"/>
      <c r="D14" s="83"/>
      <c r="E14" s="9">
        <v>0</v>
      </c>
      <c r="F14" s="8" t="s">
        <v>3</v>
      </c>
      <c r="G14" s="1"/>
    </row>
    <row r="15" spans="1:7" ht="15" customHeight="1" x14ac:dyDescent="0.25">
      <c r="A15" s="1"/>
      <c r="B15" s="81" t="s">
        <v>43</v>
      </c>
      <c r="C15" s="82"/>
      <c r="D15" s="83"/>
      <c r="E15" s="9">
        <v>0</v>
      </c>
      <c r="F15" s="8" t="s">
        <v>3</v>
      </c>
      <c r="G15" s="1"/>
    </row>
    <row r="16" spans="1:7" ht="15" customHeight="1" x14ac:dyDescent="0.25">
      <c r="A16" s="1"/>
      <c r="B16" s="81" t="s">
        <v>27</v>
      </c>
      <c r="C16" s="82"/>
      <c r="D16" s="83"/>
      <c r="E16" s="9">
        <f>E9*'Fane 15. Nøgletal'!C10+SUM(E10:E15)*'Fane 15. Nøgletal'!C11</f>
        <v>1185730.0186223418</v>
      </c>
      <c r="F16" s="8" t="s">
        <v>3</v>
      </c>
      <c r="G16" s="1"/>
    </row>
    <row r="17" spans="1:7" ht="15" customHeight="1" x14ac:dyDescent="0.25">
      <c r="A17" s="1"/>
      <c r="B17" s="81" t="s">
        <v>10</v>
      </c>
      <c r="C17" s="82"/>
      <c r="D17" s="83"/>
      <c r="E17" s="9">
        <f>-SUM(E9:E16)*'Fane 5. Individuelt eff. krav'!G10</f>
        <v>0</v>
      </c>
      <c r="F17" s="8" t="s">
        <v>3</v>
      </c>
      <c r="G17" s="1"/>
    </row>
    <row r="18" spans="1:7" ht="15" customHeight="1" x14ac:dyDescent="0.25">
      <c r="A18" s="1"/>
      <c r="B18" s="81" t="s">
        <v>39</v>
      </c>
      <c r="C18" s="82"/>
      <c r="D18" s="83"/>
      <c r="E18" s="9">
        <f>-'Fane 4.1. Gen. krav - drift'!G22</f>
        <v>-565997.65498600912</v>
      </c>
      <c r="F18" s="8" t="s">
        <v>3</v>
      </c>
      <c r="G18" s="1"/>
    </row>
    <row r="19" spans="1:7" ht="15" customHeight="1" x14ac:dyDescent="0.25">
      <c r="A19" s="1"/>
      <c r="B19" s="81" t="s">
        <v>40</v>
      </c>
      <c r="C19" s="82"/>
      <c r="D19" s="83"/>
      <c r="E19" s="9">
        <f>-'Fane 4.2. Gen. krav - anlæg'!G19</f>
        <v>-722676.47349944792</v>
      </c>
      <c r="F19" s="8" t="s">
        <v>3</v>
      </c>
      <c r="G19" s="1"/>
    </row>
    <row r="20" spans="1:7" ht="15" customHeight="1" x14ac:dyDescent="0.25">
      <c r="A20" s="1"/>
      <c r="B20" s="46" t="s">
        <v>29</v>
      </c>
      <c r="C20" s="47"/>
      <c r="D20" s="48"/>
      <c r="E20" s="10">
        <f>SUM(E9:E19)</f>
        <v>67654063.476079836</v>
      </c>
      <c r="F20" s="11" t="s">
        <v>3</v>
      </c>
      <c r="G20" s="1"/>
    </row>
    <row r="21" spans="1:7" ht="15" customHeight="1" x14ac:dyDescent="0.25">
      <c r="A21" s="1"/>
      <c r="B21" s="94" t="s">
        <v>145</v>
      </c>
      <c r="C21" s="95"/>
      <c r="D21" s="95"/>
      <c r="E21" s="95"/>
      <c r="F21" s="96"/>
      <c r="G21" s="1"/>
    </row>
    <row r="22" spans="1:7" ht="15" customHeight="1" x14ac:dyDescent="0.25">
      <c r="A22" s="1"/>
      <c r="B22" s="81" t="s">
        <v>239</v>
      </c>
      <c r="C22" s="82"/>
      <c r="D22" s="83"/>
      <c r="E22" s="44">
        <v>0</v>
      </c>
      <c r="F22" s="8" t="s">
        <v>3</v>
      </c>
      <c r="G22" s="1"/>
    </row>
    <row r="23" spans="1:7" ht="15" customHeight="1" x14ac:dyDescent="0.25">
      <c r="A23" s="1"/>
      <c r="B23" s="81" t="s">
        <v>238</v>
      </c>
      <c r="C23" s="82"/>
      <c r="D23" s="83"/>
      <c r="E23" s="44">
        <f>-E22*('Fane 15. Nøgletal'!C25+'Fane 5. Individuelt eff. krav'!G10)</f>
        <v>0</v>
      </c>
      <c r="F23" s="8" t="s">
        <v>3</v>
      </c>
      <c r="G23" s="1"/>
    </row>
    <row r="24" spans="1:7" ht="15" customHeight="1" x14ac:dyDescent="0.25">
      <c r="A24" s="1"/>
      <c r="B24" s="88" t="s">
        <v>240</v>
      </c>
      <c r="C24" s="89"/>
      <c r="D24" s="90"/>
      <c r="E24" s="10">
        <f>SUM(E22:E23)</f>
        <v>0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8" t="s">
        <v>17</v>
      </c>
      <c r="C26" s="89"/>
      <c r="D26" s="90"/>
      <c r="E26" s="10">
        <v>3667991.0982291894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91" t="s">
        <v>134</v>
      </c>
      <c r="C28" s="92"/>
      <c r="D28" s="93"/>
      <c r="E28" s="10">
        <v>-305547.08697859937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91" t="s">
        <v>19</v>
      </c>
      <c r="C30" s="92"/>
      <c r="D30" s="93"/>
      <c r="E30" s="10">
        <v>0</v>
      </c>
      <c r="F30" s="11" t="s">
        <v>3</v>
      </c>
      <c r="G30" s="1"/>
    </row>
    <row r="31" spans="1:7" x14ac:dyDescent="0.25">
      <c r="A31" s="1"/>
      <c r="B31" s="94" t="s">
        <v>24</v>
      </c>
      <c r="C31" s="95"/>
      <c r="D31" s="96"/>
      <c r="E31" s="12">
        <f>SUM(E30,E28,E26,E20,E24)</f>
        <v>71016507.487330422</v>
      </c>
      <c r="F31" s="13" t="s">
        <v>3</v>
      </c>
      <c r="G31" s="1"/>
    </row>
    <row r="32" spans="1:7" ht="27" customHeight="1" x14ac:dyDescent="0.25">
      <c r="A32" s="1"/>
      <c r="B32" s="81" t="s">
        <v>208</v>
      </c>
      <c r="C32" s="82"/>
      <c r="D32" s="82"/>
      <c r="E32" s="82"/>
      <c r="F32" s="8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bk+c9FHJcXytxAuxCDl1A6JSuo7jLKvo0od/5JaNGExE01ql8FW3xr5XFv2ipw2e4Rd5qLa5kSU+Lvn/lnNI9Q==" saltValue="qe55jV7HZAbNr+2/t9HNtQ==" spinCount="100000" sheet="1" objects="1" scenarios="1"/>
  <mergeCells count="21">
    <mergeCell ref="B22:D22"/>
    <mergeCell ref="B23:D23"/>
    <mergeCell ref="B21:F21"/>
    <mergeCell ref="B24:D24"/>
    <mergeCell ref="B30:D30"/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9" t="s">
        <v>218</v>
      </c>
      <c r="C2" s="79"/>
      <c r="D2" s="79"/>
      <c r="E2" s="79"/>
      <c r="F2" s="79"/>
      <c r="G2" s="79"/>
      <c r="H2" s="79"/>
      <c r="I2" s="1"/>
    </row>
    <row r="3" spans="1:9" ht="15" customHeight="1" x14ac:dyDescent="0.25">
      <c r="A3" s="1"/>
      <c r="B3" s="79"/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94" t="s">
        <v>94</v>
      </c>
      <c r="C5" s="95"/>
      <c r="D5" s="95"/>
      <c r="E5" s="95"/>
      <c r="F5" s="95"/>
      <c r="G5" s="95"/>
      <c r="H5" s="96"/>
      <c r="I5" s="1"/>
    </row>
    <row r="6" spans="1:9" x14ac:dyDescent="0.25">
      <c r="A6" s="1"/>
      <c r="B6" s="97" t="s">
        <v>83</v>
      </c>
      <c r="C6" s="98"/>
      <c r="D6" s="98"/>
      <c r="E6" s="98"/>
      <c r="F6" s="99"/>
      <c r="G6" s="26">
        <v>28461884</v>
      </c>
      <c r="H6" s="14" t="s">
        <v>3</v>
      </c>
      <c r="I6" s="1"/>
    </row>
    <row r="7" spans="1:9" x14ac:dyDescent="0.25">
      <c r="A7" s="1"/>
      <c r="B7" s="81" t="s">
        <v>242</v>
      </c>
      <c r="C7" s="82"/>
      <c r="D7" s="82"/>
      <c r="E7" s="82"/>
      <c r="F7" s="83"/>
      <c r="G7" s="26">
        <v>0</v>
      </c>
      <c r="H7" s="14" t="s">
        <v>3</v>
      </c>
      <c r="I7" s="1"/>
    </row>
    <row r="8" spans="1:9" x14ac:dyDescent="0.25">
      <c r="A8" s="1"/>
      <c r="B8" s="97" t="s">
        <v>84</v>
      </c>
      <c r="C8" s="98"/>
      <c r="D8" s="98"/>
      <c r="E8" s="98"/>
      <c r="F8" s="99"/>
      <c r="G8" s="26">
        <f>SUM(G6:G7)*'Fane 15. Nøgletal'!C25</f>
        <v>569237.68000000005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4" t="s">
        <v>95</v>
      </c>
      <c r="C11" s="95"/>
      <c r="D11" s="95"/>
      <c r="E11" s="95"/>
      <c r="F11" s="95"/>
      <c r="G11" s="95"/>
      <c r="H11" s="96"/>
      <c r="I11" s="1"/>
    </row>
    <row r="12" spans="1:9" x14ac:dyDescent="0.25">
      <c r="A12" s="1"/>
      <c r="B12" s="97" t="s">
        <v>85</v>
      </c>
      <c r="C12" s="98"/>
      <c r="D12" s="98"/>
      <c r="E12" s="98"/>
      <c r="F12" s="99"/>
      <c r="G12" s="26">
        <f>(G6-G8)*(1+'Fane 15. Nøgletal'!C10)</f>
        <v>28380767.630600002</v>
      </c>
      <c r="H12" s="14" t="s">
        <v>3</v>
      </c>
      <c r="I12" s="1"/>
    </row>
    <row r="13" spans="1:9" x14ac:dyDescent="0.25">
      <c r="A13" s="1"/>
      <c r="B13" s="97" t="s">
        <v>244</v>
      </c>
      <c r="C13" s="98"/>
      <c r="D13" s="98"/>
      <c r="E13" s="98"/>
      <c r="F13" s="99"/>
      <c r="G13" s="26">
        <v>0.30732353514060379</v>
      </c>
      <c r="H13" s="14" t="s">
        <v>3</v>
      </c>
      <c r="I13" s="1"/>
    </row>
    <row r="14" spans="1:9" ht="15" customHeight="1" x14ac:dyDescent="0.25">
      <c r="A14" s="1"/>
      <c r="B14" s="81" t="s">
        <v>237</v>
      </c>
      <c r="C14" s="82"/>
      <c r="D14" s="82"/>
      <c r="E14" s="82"/>
      <c r="F14" s="83"/>
      <c r="G14" s="26">
        <v>0</v>
      </c>
      <c r="H14" s="14" t="s">
        <v>3</v>
      </c>
      <c r="I14" s="1"/>
    </row>
    <row r="15" spans="1:9" x14ac:dyDescent="0.25">
      <c r="A15" s="1"/>
      <c r="B15" s="100" t="s">
        <v>86</v>
      </c>
      <c r="C15" s="101"/>
      <c r="D15" s="101"/>
      <c r="E15" s="101"/>
      <c r="F15" s="102"/>
      <c r="G15" s="26">
        <v>0</v>
      </c>
      <c r="H15" s="14" t="s">
        <v>3</v>
      </c>
      <c r="I15" s="1"/>
    </row>
    <row r="16" spans="1:9" x14ac:dyDescent="0.25">
      <c r="A16" s="1"/>
      <c r="B16" s="97" t="s">
        <v>87</v>
      </c>
      <c r="C16" s="98"/>
      <c r="D16" s="98"/>
      <c r="E16" s="98"/>
      <c r="F16" s="99"/>
      <c r="G16" s="26">
        <f>SUM(G12:G15)*'Fane 15. Nøgletal'!C25</f>
        <v>567615.35875847074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4" t="s">
        <v>96</v>
      </c>
      <c r="C19" s="95"/>
      <c r="D19" s="95"/>
      <c r="E19" s="95"/>
      <c r="F19" s="95"/>
      <c r="G19" s="95"/>
      <c r="H19" s="96"/>
      <c r="I19" s="1"/>
    </row>
    <row r="20" spans="1:9" x14ac:dyDescent="0.25">
      <c r="A20" s="1"/>
      <c r="B20" s="97" t="s">
        <v>88</v>
      </c>
      <c r="C20" s="98"/>
      <c r="D20" s="98"/>
      <c r="E20" s="98"/>
      <c r="F20" s="99"/>
      <c r="G20" s="26">
        <f>(SUM(G12:G13,G15)-(G16))*(1+'Fane 15. Nøgletal'!C10)</f>
        <v>28299882.749300454</v>
      </c>
      <c r="H20" s="14" t="s">
        <v>3</v>
      </c>
      <c r="I20" s="1"/>
    </row>
    <row r="21" spans="1:9" x14ac:dyDescent="0.25">
      <c r="A21" s="1"/>
      <c r="B21" s="100" t="s">
        <v>89</v>
      </c>
      <c r="C21" s="101"/>
      <c r="D21" s="101"/>
      <c r="E21" s="101"/>
      <c r="F21" s="102"/>
      <c r="G21" s="26">
        <v>0</v>
      </c>
      <c r="H21" s="14" t="s">
        <v>3</v>
      </c>
      <c r="I21" s="1"/>
    </row>
    <row r="22" spans="1:9" x14ac:dyDescent="0.25">
      <c r="A22" s="1"/>
      <c r="B22" s="97" t="s">
        <v>90</v>
      </c>
      <c r="C22" s="98"/>
      <c r="D22" s="98"/>
      <c r="E22" s="98"/>
      <c r="F22" s="99"/>
      <c r="G22" s="26">
        <f>SUM(G20:G21)*'Fane 15. Nøgletal'!C25</f>
        <v>565997.65498600912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4" t="s">
        <v>97</v>
      </c>
      <c r="C25" s="95"/>
      <c r="D25" s="95"/>
      <c r="E25" s="95"/>
      <c r="F25" s="95"/>
      <c r="G25" s="95"/>
      <c r="H25" s="96"/>
      <c r="I25" s="1"/>
    </row>
    <row r="26" spans="1:9" x14ac:dyDescent="0.25">
      <c r="A26" s="1"/>
      <c r="B26" s="97" t="s">
        <v>91</v>
      </c>
      <c r="C26" s="98"/>
      <c r="D26" s="98"/>
      <c r="E26" s="98"/>
      <c r="F26" s="99"/>
      <c r="G26" s="26">
        <f>(G20+G21-G22)*(1+'Fane 15. Nøgletal'!C12)</f>
        <v>28280242.63067244</v>
      </c>
      <c r="H26" s="14" t="s">
        <v>3</v>
      </c>
      <c r="I26" s="1"/>
    </row>
    <row r="27" spans="1:9" x14ac:dyDescent="0.25">
      <c r="A27" s="1"/>
      <c r="B27" s="100" t="s">
        <v>92</v>
      </c>
      <c r="C27" s="101"/>
      <c r="D27" s="101"/>
      <c r="E27" s="101"/>
      <c r="F27" s="102"/>
      <c r="G27" s="26">
        <f>('Fane 2.1. Økonomisk ramme 2020'!C10+'Fane 2.1. Økonomisk ramme 2020'!C12+'Fane 2.1. Økonomisk ramme 2020'!C14)*(1+'Fane 15. Nøgletal'!C12)</f>
        <v>0</v>
      </c>
      <c r="H27" s="14" t="s">
        <v>3</v>
      </c>
      <c r="I27" s="1"/>
    </row>
    <row r="28" spans="1:9" x14ac:dyDescent="0.25">
      <c r="A28" s="1"/>
      <c r="B28" s="97" t="s">
        <v>93</v>
      </c>
      <c r="C28" s="98"/>
      <c r="D28" s="98"/>
      <c r="E28" s="98"/>
      <c r="F28" s="99"/>
      <c r="G28" s="26">
        <f>(G26+G27)*'Fane 15. Nøgletal'!C25</f>
        <v>565604.85261344886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4" t="s">
        <v>100</v>
      </c>
      <c r="C31" s="95"/>
      <c r="D31" s="95"/>
      <c r="E31" s="95"/>
      <c r="F31" s="95"/>
      <c r="G31" s="95"/>
      <c r="H31" s="96"/>
      <c r="I31" s="1"/>
    </row>
    <row r="32" spans="1:9" x14ac:dyDescent="0.25">
      <c r="A32" s="1"/>
      <c r="B32" s="97" t="s">
        <v>101</v>
      </c>
      <c r="C32" s="98"/>
      <c r="D32" s="98"/>
      <c r="E32" s="98"/>
      <c r="F32" s="99"/>
      <c r="G32" s="26">
        <f>(G26+G27-G28)*(1+'Fane 15. Nøgletal'!C12)</f>
        <v>28260616.142286755</v>
      </c>
      <c r="H32" s="14" t="s">
        <v>3</v>
      </c>
      <c r="I32" s="1"/>
    </row>
    <row r="33" spans="1:9" x14ac:dyDescent="0.25">
      <c r="A33" s="1"/>
      <c r="B33" s="97" t="s">
        <v>149</v>
      </c>
      <c r="C33" s="98"/>
      <c r="D33" s="98"/>
      <c r="E33" s="98"/>
      <c r="F33" s="99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7" t="s">
        <v>102</v>
      </c>
      <c r="C34" s="98"/>
      <c r="D34" s="98"/>
      <c r="E34" s="98"/>
      <c r="F34" s="99"/>
      <c r="G34" s="26">
        <f>(G32+G33)*'Fane 15. Nøgletal'!C25</f>
        <v>565212.32284573512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4" t="s">
        <v>127</v>
      </c>
      <c r="C37" s="95"/>
      <c r="D37" s="95"/>
      <c r="E37" s="95"/>
      <c r="F37" s="95"/>
      <c r="G37" s="95"/>
      <c r="H37" s="96"/>
      <c r="I37" s="1"/>
    </row>
    <row r="38" spans="1:9" x14ac:dyDescent="0.25">
      <c r="A38" s="1"/>
      <c r="B38" s="97" t="s">
        <v>126</v>
      </c>
      <c r="C38" s="98"/>
      <c r="D38" s="98"/>
      <c r="E38" s="98"/>
      <c r="F38" s="99"/>
      <c r="G38" s="26">
        <f>(G32-G34)*(1+'Fane 15. Nøgletal'!C12)</f>
        <v>28241003.274684008</v>
      </c>
      <c r="H38" s="14" t="s">
        <v>3</v>
      </c>
      <c r="I38" s="1"/>
    </row>
    <row r="39" spans="1:9" x14ac:dyDescent="0.25">
      <c r="A39" s="1"/>
      <c r="B39" s="97" t="s">
        <v>150</v>
      </c>
      <c r="C39" s="98"/>
      <c r="D39" s="98"/>
      <c r="E39" s="98"/>
      <c r="F39" s="99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7" t="s">
        <v>103</v>
      </c>
      <c r="C40" s="98"/>
      <c r="D40" s="98"/>
      <c r="E40" s="98"/>
      <c r="F40" s="99"/>
      <c r="G40" s="26">
        <f>(G38+G39)*'Fane 15. Nøgletal'!C25</f>
        <v>564820.06549368019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4" t="s">
        <v>128</v>
      </c>
      <c r="C43" s="95"/>
      <c r="D43" s="95"/>
      <c r="E43" s="95"/>
      <c r="F43" s="95"/>
      <c r="G43" s="95"/>
      <c r="H43" s="96"/>
      <c r="I43" s="1"/>
    </row>
    <row r="44" spans="1:9" x14ac:dyDescent="0.25">
      <c r="A44" s="1"/>
      <c r="B44" s="97" t="s">
        <v>125</v>
      </c>
      <c r="C44" s="98"/>
      <c r="D44" s="98"/>
      <c r="E44" s="98"/>
      <c r="F44" s="99"/>
      <c r="G44" s="26">
        <f>(G38-G40)*(1+'Fane 15. Nøgletal'!C12)</f>
        <v>28221404.018411379</v>
      </c>
      <c r="H44" s="14" t="s">
        <v>3</v>
      </c>
      <c r="I44" s="1"/>
    </row>
    <row r="45" spans="1:9" x14ac:dyDescent="0.25">
      <c r="A45" s="1"/>
      <c r="B45" s="97" t="s">
        <v>151</v>
      </c>
      <c r="C45" s="98"/>
      <c r="D45" s="98"/>
      <c r="E45" s="98"/>
      <c r="F45" s="99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7" t="s">
        <v>104</v>
      </c>
      <c r="C46" s="98"/>
      <c r="D46" s="98"/>
      <c r="E46" s="98"/>
      <c r="F46" s="99"/>
      <c r="G46" s="26">
        <f>(G44+G45)*'Fane 15. Nøgletal'!C25</f>
        <v>564428.08036822756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mFzd3V+914iLfbyf6stLQBdV5bI/kUrqx+QCnfKPVv9HcHTzUUhGcgoken/YT5pSjnWgvIhQP+9sekcRrMIAag==" saltValue="CA4xpTZdQU7rCzMjn9gtyQ==" spinCount="100000" sheet="1" objects="1" scenarios="1"/>
  <mergeCells count="31"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25:H25"/>
    <mergeCell ref="B43:H43"/>
    <mergeCell ref="B44:F44"/>
    <mergeCell ref="B46:F46"/>
    <mergeCell ref="B39:F39"/>
    <mergeCell ref="B45:F45"/>
    <mergeCell ref="B40:F40"/>
    <mergeCell ref="B2:H4"/>
    <mergeCell ref="B5:H5"/>
    <mergeCell ref="B6:F6"/>
    <mergeCell ref="B8:F8"/>
    <mergeCell ref="B12:F12"/>
    <mergeCell ref="B11:H11"/>
    <mergeCell ref="B7:F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3" t="s">
        <v>219</v>
      </c>
      <c r="C2" s="103"/>
      <c r="D2" s="103"/>
      <c r="E2" s="103"/>
      <c r="F2" s="103"/>
      <c r="G2" s="103"/>
      <c r="H2" s="103"/>
      <c r="I2" s="1"/>
    </row>
    <row r="3" spans="1:9" ht="18.75" x14ac:dyDescent="0.3">
      <c r="A3" s="1"/>
      <c r="B3" s="54"/>
      <c r="C3" s="54"/>
      <c r="D3" s="54"/>
      <c r="E3" s="54"/>
      <c r="F3" s="54"/>
      <c r="G3" s="54"/>
      <c r="H3" s="54"/>
      <c r="I3" s="1"/>
    </row>
    <row r="4" spans="1:9" x14ac:dyDescent="0.25">
      <c r="A4" s="1"/>
      <c r="B4" s="94" t="s">
        <v>98</v>
      </c>
      <c r="C4" s="95"/>
      <c r="D4" s="95"/>
      <c r="E4" s="95"/>
      <c r="F4" s="95"/>
      <c r="G4" s="95"/>
      <c r="H4" s="96"/>
      <c r="I4" s="1"/>
    </row>
    <row r="5" spans="1:9" x14ac:dyDescent="0.25">
      <c r="A5" s="1"/>
      <c r="B5" s="97" t="s">
        <v>105</v>
      </c>
      <c r="C5" s="98"/>
      <c r="D5" s="98"/>
      <c r="E5" s="98"/>
      <c r="F5" s="99"/>
      <c r="G5" s="26">
        <v>40320566</v>
      </c>
      <c r="H5" s="14" t="s">
        <v>3</v>
      </c>
      <c r="I5" s="1"/>
    </row>
    <row r="6" spans="1:9" x14ac:dyDescent="0.25">
      <c r="A6" s="1"/>
      <c r="B6" s="97" t="s">
        <v>99</v>
      </c>
      <c r="C6" s="98"/>
      <c r="D6" s="98"/>
      <c r="E6" s="98"/>
      <c r="F6" s="99"/>
      <c r="G6" s="26">
        <f>G5*'Fane 15. Nøgletal'!C17</f>
        <v>366917.15059999999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4" t="s">
        <v>106</v>
      </c>
      <c r="C9" s="95"/>
      <c r="D9" s="95"/>
      <c r="E9" s="95"/>
      <c r="F9" s="95"/>
      <c r="G9" s="95"/>
      <c r="H9" s="96"/>
      <c r="I9" s="1"/>
    </row>
    <row r="10" spans="1:9" x14ac:dyDescent="0.25">
      <c r="A10" s="1"/>
      <c r="B10" s="97" t="s">
        <v>107</v>
      </c>
      <c r="C10" s="98"/>
      <c r="D10" s="98"/>
      <c r="E10" s="98"/>
      <c r="F10" s="99"/>
      <c r="G10" s="26">
        <f>(G5-G6)*(1+'Fane 15. Nøgletal'!C10)</f>
        <v>40652837.704264499</v>
      </c>
      <c r="H10" s="14" t="s">
        <v>3</v>
      </c>
      <c r="I10" s="1"/>
    </row>
    <row r="11" spans="1:9" x14ac:dyDescent="0.25">
      <c r="A11" s="1"/>
      <c r="B11" s="97" t="s">
        <v>245</v>
      </c>
      <c r="C11" s="98"/>
      <c r="D11" s="98"/>
      <c r="E11" s="98"/>
      <c r="F11" s="99"/>
      <c r="G11" s="26">
        <v>182483.87760194053</v>
      </c>
      <c r="H11" s="14" t="s">
        <v>3</v>
      </c>
      <c r="I11" s="1"/>
    </row>
    <row r="12" spans="1:9" x14ac:dyDescent="0.25">
      <c r="A12" s="1"/>
      <c r="B12" s="100" t="s">
        <v>108</v>
      </c>
      <c r="C12" s="101"/>
      <c r="D12" s="101"/>
      <c r="E12" s="101"/>
      <c r="F12" s="102"/>
      <c r="G12" s="26">
        <v>0</v>
      </c>
      <c r="H12" s="14" t="s">
        <v>3</v>
      </c>
      <c r="I12" s="1"/>
    </row>
    <row r="13" spans="1:9" x14ac:dyDescent="0.25">
      <c r="A13" s="1"/>
      <c r="B13" s="97" t="s">
        <v>109</v>
      </c>
      <c r="C13" s="98"/>
      <c r="D13" s="98"/>
      <c r="E13" s="98"/>
      <c r="F13" s="99"/>
      <c r="G13" s="26">
        <f>SUM(G10:G12)*'Fane 15. Nøgletal'!C18</f>
        <v>722785.19199903612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4" t="s">
        <v>110</v>
      </c>
      <c r="C16" s="95"/>
      <c r="D16" s="95"/>
      <c r="E16" s="95"/>
      <c r="F16" s="95"/>
      <c r="G16" s="95"/>
      <c r="H16" s="96"/>
      <c r="I16" s="1"/>
    </row>
    <row r="17" spans="1:9" x14ac:dyDescent="0.25">
      <c r="A17" s="1"/>
      <c r="B17" s="97" t="s">
        <v>111</v>
      </c>
      <c r="C17" s="98"/>
      <c r="D17" s="98"/>
      <c r="E17" s="98"/>
      <c r="F17" s="99"/>
      <c r="G17" s="26">
        <f>(SUM(G10:G12)-G13)*(1+'Fane 15. Nøgletal'!C10)</f>
        <v>40814505.776690096</v>
      </c>
      <c r="H17" s="14" t="s">
        <v>3</v>
      </c>
      <c r="I17" s="1"/>
    </row>
    <row r="18" spans="1:9" x14ac:dyDescent="0.25">
      <c r="A18" s="1"/>
      <c r="B18" s="100" t="s">
        <v>112</v>
      </c>
      <c r="C18" s="101"/>
      <c r="D18" s="101"/>
      <c r="E18" s="101"/>
      <c r="F18" s="102"/>
      <c r="G18" s="26">
        <v>29853.017475089993</v>
      </c>
      <c r="H18" s="14" t="s">
        <v>3</v>
      </c>
      <c r="I18" s="1"/>
    </row>
    <row r="19" spans="1:9" x14ac:dyDescent="0.25">
      <c r="A19" s="1"/>
      <c r="B19" s="97" t="s">
        <v>113</v>
      </c>
      <c r="C19" s="98"/>
      <c r="D19" s="98"/>
      <c r="E19" s="98"/>
      <c r="F19" s="99"/>
      <c r="G19" s="26">
        <f>G17*'Fane 15. Nøgletal'!C18+G18*'Fane 15. Nøgletal'!C19</f>
        <v>722676.47349944792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4" t="s">
        <v>114</v>
      </c>
      <c r="C22" s="95"/>
      <c r="D22" s="95"/>
      <c r="E22" s="95"/>
      <c r="F22" s="95"/>
      <c r="G22" s="95"/>
      <c r="H22" s="96"/>
      <c r="I22" s="1"/>
    </row>
    <row r="23" spans="1:9" x14ac:dyDescent="0.25">
      <c r="A23" s="1"/>
      <c r="B23" s="97" t="s">
        <v>115</v>
      </c>
      <c r="C23" s="98"/>
      <c r="D23" s="98"/>
      <c r="E23" s="98"/>
      <c r="F23" s="99"/>
      <c r="G23" s="26">
        <f>(G17+G18-G19)*(1+'Fane 15. Nøgletal'!C12)</f>
        <v>40912079.462382853</v>
      </c>
      <c r="H23" s="14" t="s">
        <v>3</v>
      </c>
      <c r="I23" s="1"/>
    </row>
    <row r="24" spans="1:9" x14ac:dyDescent="0.25">
      <c r="A24" s="1"/>
      <c r="B24" s="100" t="s">
        <v>116</v>
      </c>
      <c r="C24" s="101"/>
      <c r="D24" s="101"/>
      <c r="E24" s="101"/>
      <c r="F24" s="102"/>
      <c r="G24" s="26">
        <f>('Fane 2.1. Økonomisk ramme 2020'!C11+'Fane 2.1. Økonomisk ramme 2020'!C13+'Fane 2.1. Økonomisk ramme 2020'!C15)*(1+'Fane 15. Nøgletal'!C12)</f>
        <v>61327.741336290004</v>
      </c>
      <c r="H24" s="14" t="s">
        <v>3</v>
      </c>
      <c r="I24" s="1"/>
    </row>
    <row r="25" spans="1:9" x14ac:dyDescent="0.25">
      <c r="A25" s="1"/>
      <c r="B25" s="97" t="s">
        <v>117</v>
      </c>
      <c r="C25" s="98"/>
      <c r="D25" s="98"/>
      <c r="E25" s="98"/>
      <c r="F25" s="99"/>
      <c r="G25" s="26">
        <f>(G23+G24)*'Fane 15. Nøgletal'!C20</f>
        <v>1163644.7645856238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4" t="s">
        <v>118</v>
      </c>
      <c r="C28" s="95"/>
      <c r="D28" s="95"/>
      <c r="E28" s="95"/>
      <c r="F28" s="95"/>
      <c r="G28" s="95"/>
      <c r="H28" s="96"/>
      <c r="I28" s="1"/>
    </row>
    <row r="29" spans="1:9" x14ac:dyDescent="0.25">
      <c r="A29" s="1"/>
      <c r="B29" s="97" t="s">
        <v>119</v>
      </c>
      <c r="C29" s="98"/>
      <c r="D29" s="98"/>
      <c r="E29" s="98"/>
      <c r="F29" s="99"/>
      <c r="G29" s="26">
        <f>(G23+G24-G25)*(1+'Fane 15. Nøgletal'!C12)</f>
        <v>40594014.759184457</v>
      </c>
      <c r="H29" s="14" t="s">
        <v>3</v>
      </c>
      <c r="I29" s="1"/>
    </row>
    <row r="30" spans="1:9" x14ac:dyDescent="0.25">
      <c r="A30" s="1"/>
      <c r="B30" s="97" t="s">
        <v>155</v>
      </c>
      <c r="C30" s="98"/>
      <c r="D30" s="98"/>
      <c r="E30" s="98"/>
      <c r="F30" s="99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7" t="s">
        <v>120</v>
      </c>
      <c r="C31" s="98"/>
      <c r="D31" s="98"/>
      <c r="E31" s="98"/>
      <c r="F31" s="99"/>
      <c r="G31" s="26">
        <f>(G29+G30)*'Fane 15. Nøgletal'!C20</f>
        <v>1152870.0191608386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4" t="s">
        <v>129</v>
      </c>
      <c r="C34" s="95"/>
      <c r="D34" s="95"/>
      <c r="E34" s="95"/>
      <c r="F34" s="95"/>
      <c r="G34" s="95"/>
      <c r="H34" s="96"/>
      <c r="I34" s="1"/>
    </row>
    <row r="35" spans="1:9" x14ac:dyDescent="0.25">
      <c r="A35" s="1"/>
      <c r="B35" s="97" t="s">
        <v>124</v>
      </c>
      <c r="C35" s="98"/>
      <c r="D35" s="98"/>
      <c r="E35" s="98"/>
      <c r="F35" s="99"/>
      <c r="G35" s="26">
        <f>(G29+G30-G31)*(1+'Fane 15. Nøgletal'!C12)</f>
        <v>40218135.291402087</v>
      </c>
      <c r="H35" s="14" t="s">
        <v>3</v>
      </c>
      <c r="I35" s="1"/>
    </row>
    <row r="36" spans="1:9" x14ac:dyDescent="0.25">
      <c r="A36" s="1"/>
      <c r="B36" s="97" t="s">
        <v>156</v>
      </c>
      <c r="C36" s="98"/>
      <c r="D36" s="98"/>
      <c r="E36" s="98"/>
      <c r="F36" s="99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7" t="s">
        <v>121</v>
      </c>
      <c r="C37" s="98"/>
      <c r="D37" s="98"/>
      <c r="E37" s="98"/>
      <c r="F37" s="99"/>
      <c r="G37" s="26">
        <f>(G35+G36)*'Fane 15. Nøgletal'!C20</f>
        <v>1142195.0422758192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4" t="s">
        <v>130</v>
      </c>
      <c r="C40" s="95"/>
      <c r="D40" s="95"/>
      <c r="E40" s="95"/>
      <c r="F40" s="95"/>
      <c r="G40" s="95"/>
      <c r="H40" s="96"/>
      <c r="I40" s="1"/>
    </row>
    <row r="41" spans="1:9" x14ac:dyDescent="0.25">
      <c r="A41" s="1"/>
      <c r="B41" s="97" t="s">
        <v>123</v>
      </c>
      <c r="C41" s="98"/>
      <c r="D41" s="98"/>
      <c r="E41" s="98"/>
      <c r="F41" s="99"/>
      <c r="G41" s="26">
        <f>(G35+G36-G37)*(1+'Fane 15. Nøgletal'!C12)</f>
        <v>39845736.272034056</v>
      </c>
      <c r="H41" s="14" t="s">
        <v>3</v>
      </c>
      <c r="I41" s="1"/>
    </row>
    <row r="42" spans="1:9" x14ac:dyDescent="0.25">
      <c r="A42" s="1"/>
      <c r="B42" s="97" t="s">
        <v>157</v>
      </c>
      <c r="C42" s="98"/>
      <c r="D42" s="98"/>
      <c r="E42" s="98"/>
      <c r="F42" s="99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7" t="s">
        <v>122</v>
      </c>
      <c r="C43" s="98"/>
      <c r="D43" s="98"/>
      <c r="E43" s="98"/>
      <c r="F43" s="99"/>
      <c r="G43" s="26">
        <f>(G41+G42)*'Fane 15. Nøgletal'!C20</f>
        <v>1131618.9101257673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TAd3haXW96QYqEsKBFl4dn966LJkt0zeMlCEaAO9I7Kd+WDOPGG0IMvHeStx86w2CfcTLQ0kFQbJbb5Asr9U4g==" saltValue="w/jYVJ6mDCuu7XRTi1PFyg==" spinCount="100000" sheet="1" objects="1" scenarios="1"/>
  <mergeCells count="29"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148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10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7" t="s">
        <v>131</v>
      </c>
      <c r="C9" s="98"/>
      <c r="D9" s="98"/>
      <c r="E9" s="98"/>
      <c r="F9" s="99"/>
      <c r="G9" s="25">
        <v>2.8296782502218103E-3</v>
      </c>
      <c r="H9" s="14"/>
      <c r="I9" s="1"/>
    </row>
    <row r="10" spans="1:9" x14ac:dyDescent="0.25">
      <c r="A10" s="1"/>
      <c r="B10" s="97" t="s">
        <v>132</v>
      </c>
      <c r="C10" s="98"/>
      <c r="D10" s="98"/>
      <c r="E10" s="98"/>
      <c r="F10" s="99"/>
      <c r="G10" s="25">
        <v>0</v>
      </c>
      <c r="H10" s="14"/>
      <c r="I10" s="1"/>
    </row>
    <row r="11" spans="1:9" x14ac:dyDescent="0.25">
      <c r="A11" s="1"/>
      <c r="B11" s="97" t="s">
        <v>133</v>
      </c>
      <c r="C11" s="98"/>
      <c r="D11" s="98"/>
      <c r="E11" s="98"/>
      <c r="F11" s="99"/>
      <c r="G11" s="43">
        <v>3.4325089427373824E-3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4" t="s">
        <v>78</v>
      </c>
      <c r="C14" s="104"/>
      <c r="D14" s="104"/>
      <c r="E14" s="104"/>
      <c r="F14" s="104"/>
      <c r="G14" s="104"/>
      <c r="H14" s="104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T++mfLTKRba50mFIGTlkXoBQ8WdeuUL6sHw++QRfFzzvj2ztIrGJsEkA1evINIJdzdhbTyMGaelfoIrSUkc2RQ==" saltValue="HvirTxXCv8xQ/+TKOXTYnw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2019-10-08T09:45:22Z</dcterms:modified>
</cp:coreProperties>
</file>