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ællesskabet Nordvestsjælland (V20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2" i="19"/>
  <c r="C13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<sst xmlns="http://schemas.openxmlformats.org/spreadsheetml/2006/main" count="587" uniqueCount="241">
  <si>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</si>
  <si>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</si>
  <si>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</si>
  <si>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</si>
  <si>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</si>
  <si>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</si>
  <si>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</si>
  <si>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</si>
  <si>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</si>
  <si>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</si>
  <si>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</si>
  <si>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</si>
  <si>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</si>
  <si>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</si>
  <si>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</si>
  <si>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</si>
  <si>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</si>
  <si>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</si>
  <si>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</si>
  <si>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</si>
  <si>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</si>
  <si>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</si>
  <si>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</si>
  <si>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</si>
  <si>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</si>
  <si>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</si>
  <si>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</si>
  <si>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</si>
  <si>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</si>
  <si>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</si>
  <si>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</si>
  <si>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</si>
  <si>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</si>
  <si>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</si>
  <si>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</si>
  <si>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</si>
  <si>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</si>
  <si>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</si>
  <si>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</si>
  <si>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</si>
  <si>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</si>
  <si>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</si>
  <si>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</si>
  <si>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</si>
  <si>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</si>
  <si>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</si>
  <si>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</si>
  <si>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</si>
  <si>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</si>
  <si>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</si>
  <si>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</si>
  <si>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</si>
  <si>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</si>
  <si>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</si>
  <si>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</si>
  <si>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</si>
  <si>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</si>
  <si>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</si>
  <si>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</si>
  <si>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</si>
  <si>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</si>
  <si>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</si>
  <si>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</si>
  <si>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</si>
  <si>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</si>
  <si>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</si>
  <si>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</si>
  <si>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</si>
  <si>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</si>
  <si>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</si>
  <si>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</si>
  <si>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</si>
  <si>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</si>
  <si>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</si>
  <si>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</si>
  <si>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</si>
  <si>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</si>
  <si>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</si>
  <si>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</si>
  <si>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</si>
  <si>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</si>
  <si>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</si>
  <si>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</si>
  <si>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</si>
  <si>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</si>
  <si>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</si>
  <si>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</si>
  <si>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</si>
  <si>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</si>
  <si>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</si>
  <si>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</si>
  <si>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</si>
  <si>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</si>
  <si>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</si>
  <si>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</si>
  <si>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</si>
  <si>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</si>
  <si>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</si>
  <si>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</si>
  <si>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</si>
  <si>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</si>
  <si>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</si>
  <si>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</si>
  <si>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</si>
  <si>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</si>
  <si>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</si>
  <si>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</si>
  <si>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</si>
  <si>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</si>
  <si>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</si>
  <si>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</si>
  <si>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</si>
  <si>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</si>
  <si>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</si>
  <si>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</si>
  <si>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</si>
  <si>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</si>
  <si>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</si>
  <si>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</si>
  <si>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</si>
  <si>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</si>
  <si>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</si>
  <si>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</si>
  <si>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</si>
  <si>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</si>
  <si>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</si>
  <si>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</si>
  <si>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</si>
  <si>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</si>
  <si>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</si>
  <si>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</si>
  <si>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</si>
  <si>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</si>
  <si>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</si>
  <si>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</si>
  <si>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</si>
  <si>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</si>
  <si>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</si>
  <si>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</si>
  <si>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</si>
  <si>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</si>
  <si>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</si>
  <si>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</si>
  <si>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</si>
  <si>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</si>
  <si>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</si>
  <si>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</si>
  <si>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</si>
  <si>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</si>
  <si>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</si>
  <si>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</si>
  <si>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</si>
  <si>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</si>
  <si>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</si>
  <si>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</si>
  <si>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</si>
  <si>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</si>
  <si>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</si>
  <si>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</si>
  <si>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</si>
  <si>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</si>
  <si>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</si>
  <si>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</si>
  <si>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</si>
  <si>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</si>
  <si>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</si>
  <si>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</si>
  <si>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</si>
  <si>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</si>
  <si>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</si>
  <si>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</si>
  <si>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</si>
  <si>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</si>
  <si>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</si>
  <si>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</si>
  <si>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</si>
  <si>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</si>
  <si>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</si>
  <si>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</si>
  <si>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</si>
  <si>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</si>
  <si>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</si>
  <si>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</si>
  <si>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</si>
  <si>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</si>
  <si>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</si>
  <si>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</si>
  <si>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</si>
  <si>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</si>
  <si>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</si>
  <si>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</si>
  <si>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</si>
  <si>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</si>
  <si>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</si>
  <si>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</si>
  <si>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</si>
  <si>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</si>
  <si>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</si>
  <si>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</si>
  <si>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</si>
  <si>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</si>
  <si>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</si>
  <si>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</si>
  <si>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</si>
  <si>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</si>
  <si>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</si>
  <si>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</si>
  <si>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</si>
  <si>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</si>
  <si>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</si>
  <si>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</si>
  <si>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</si>
  <si>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</si>
  <si>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</si>
  <si>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</si>
  <si>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</si>
  <si>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</si>
  <si>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</si>
  <si>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</si>
  <si>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</si>
  <si>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</si>
  <si>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</si>
  <si>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</si>
  <si>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</si>
  <si>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</si>
  <si>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</si>
  <si>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</si>
  <si>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</si>
  <si>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</si>
  <si>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</si>
  <si>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</si>
  <si>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</si>
  <si>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</si>
  <si>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</si>
  <si>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</si>
  <si>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</si>
  <si>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til Forsyningssekretariatet</t>
  </si>
  <si>
    <t>Køb af ydelser og produkter fra andre vandselskaber reguleret af vandsektorloven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</si>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</sst>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192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3" t="s">
        <v>56</v>
      </c>
      <c r="E13" s="54"/>
      <c r="F13" s="54"/>
      <c r="G13" s="55"/>
      <c r="H13" s="1"/>
      <c r="I13" s="1"/>
    </row>
    <row r="14" spans="1:9" x14ac:dyDescent="0.25">
      <c r="A14" s="1"/>
      <c r="B14" s="1"/>
      <c r="C14" s="6" t="s">
        <v>22</v>
      </c>
      <c r="D14" s="53" t="s">
        <v>177</v>
      </c>
      <c r="E14" s="54"/>
      <c r="F14" s="54"/>
      <c r="G14" s="55"/>
      <c r="H14" s="1"/>
      <c r="I14" s="1"/>
    </row>
    <row r="15" spans="1:9" x14ac:dyDescent="0.25">
      <c r="A15" s="1"/>
      <c r="B15" s="1"/>
      <c r="C15" s="6" t="s">
        <v>55</v>
      </c>
      <c r="D15" s="53" t="s">
        <v>133</v>
      </c>
      <c r="E15" s="54"/>
      <c r="F15" s="54"/>
      <c r="G15" s="55"/>
      <c r="H15" s="1"/>
      <c r="I15" s="1"/>
    </row>
    <row r="16" spans="1:9" x14ac:dyDescent="0.25">
      <c r="A16" s="1"/>
      <c r="B16" s="1"/>
      <c r="C16" s="6" t="s">
        <v>57</v>
      </c>
      <c r="D16" s="53" t="s">
        <v>134</v>
      </c>
      <c r="E16" s="54"/>
      <c r="F16" s="54"/>
      <c r="G16" s="55"/>
      <c r="H16" s="1"/>
      <c r="I16" s="1"/>
    </row>
    <row r="17" spans="1:9" x14ac:dyDescent="0.25">
      <c r="A17" s="1"/>
      <c r="B17" s="1"/>
      <c r="C17" s="6" t="s">
        <v>224</v>
      </c>
      <c r="D17" s="53" t="s">
        <v>66</v>
      </c>
      <c r="E17" s="54"/>
      <c r="F17" s="54"/>
      <c r="G17" s="55"/>
      <c r="H17" s="1"/>
      <c r="I17" s="1"/>
    </row>
    <row r="18" spans="1:9" x14ac:dyDescent="0.25">
      <c r="A18" s="1"/>
      <c r="B18" s="1"/>
      <c r="C18" s="34" t="s">
        <v>196</v>
      </c>
      <c r="D18" s="62" t="s">
        <v>162</v>
      </c>
      <c r="E18" s="63"/>
      <c r="F18" s="63"/>
      <c r="G18" s="64"/>
      <c r="H18" s="1"/>
      <c r="I18" s="1"/>
    </row>
    <row r="19" spans="1:9" x14ac:dyDescent="0.25">
      <c r="A19" s="1"/>
      <c r="B19" s="1"/>
      <c r="C19" s="34" t="s">
        <v>197</v>
      </c>
      <c r="D19" s="62" t="s">
        <v>163</v>
      </c>
      <c r="E19" s="63"/>
      <c r="F19" s="63"/>
      <c r="G19" s="64"/>
      <c r="H19" s="1"/>
      <c r="I19" s="1"/>
    </row>
    <row r="20" spans="1:9" x14ac:dyDescent="0.25">
      <c r="A20" s="1"/>
      <c r="B20" s="1"/>
      <c r="C20" s="34" t="s">
        <v>7</v>
      </c>
      <c r="D20" s="62" t="s">
        <v>10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198</v>
      </c>
      <c r="D21" s="71" t="s">
        <v>17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65" t="s">
        <v>11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62</v>
      </c>
      <c r="D30" s="68" t="s">
        <v>184</v>
      </c>
      <c r="E30" s="69"/>
      <c r="F30" s="69"/>
      <c r="G30" s="7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4kc7e2eWTVrWoavuxOvWqAlnk3lqHsXNV3lOZndNkCCxAd5Clt167KtdF7Epaz47fRbbGqL1ILFVsQ7dd7Nfg==" saltValue="BnJ+4rwEWN0dqjdNIXfmB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7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204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69</v>
      </c>
      <c r="C8" s="98"/>
      <c r="D8" s="99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40970</v>
      </c>
      <c r="D10" s="14" t="s">
        <v>3</v>
      </c>
      <c r="E10" s="1"/>
      <c r="F10" s="1"/>
    </row>
    <row r="11" spans="1:6" ht="26.25" x14ac:dyDescent="0.25">
      <c r="A11" s="1"/>
      <c r="B11" s="44" t="s">
        <v>237</v>
      </c>
      <c r="C11" s="9">
        <v>2399529</v>
      </c>
      <c r="D11" s="14" t="s">
        <v>3</v>
      </c>
      <c r="E11" s="1"/>
      <c r="F11" s="1"/>
    </row>
    <row r="12" spans="1:6" x14ac:dyDescent="0.25">
      <c r="A12" s="1"/>
      <c r="B12" s="39" t="s">
        <v>71</v>
      </c>
      <c r="C12" s="12">
        <f>SUM(C10:C11)</f>
        <v>2440499</v>
      </c>
      <c r="D12" s="13" t="s">
        <v>3</v>
      </c>
      <c r="E12" s="1"/>
      <c r="F12" s="1"/>
    </row>
    <row r="13" spans="1:6" x14ac:dyDescent="0.25">
      <c r="A13" s="1"/>
      <c r="B13" s="39" t="s">
        <v>72</v>
      </c>
      <c r="C13" s="12">
        <f>C12*(1+'Fane 14. Nøgletal'!C12)^2</f>
        <v>2537601.79385691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heetProtection algorithmName="SHA-512" hashValue="BySRT4nn/FrbugXQ1I5J1SBqPVLJDofSngSIJ+CCX9nvodk4+pKZ8+D0J55s/x+WvMrRCDIA+MoOxH019o6kPw==" saltValue="kW/gt8+AbLOLDKnrR74px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205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7" t="s">
        <v>52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50</v>
      </c>
      <c r="C7" s="101"/>
      <c r="D7" s="102"/>
      <c r="E7" s="9">
        <v>245956.3</v>
      </c>
      <c r="F7" s="14" t="s">
        <v>3</v>
      </c>
      <c r="G7" s="1"/>
    </row>
    <row r="8" spans="1:7" ht="15" customHeight="1" x14ac:dyDescent="0.25">
      <c r="A8" s="1"/>
      <c r="B8" s="100" t="s">
        <v>51</v>
      </c>
      <c r="C8" s="101"/>
      <c r="D8" s="102"/>
      <c r="E8" s="9">
        <v>90621.993914544582</v>
      </c>
      <c r="F8" s="14" t="s">
        <v>3</v>
      </c>
      <c r="G8" s="1"/>
    </row>
    <row r="9" spans="1:7" ht="15" customHeight="1" x14ac:dyDescent="0.25">
      <c r="A9" s="1"/>
      <c r="B9" s="108" t="s">
        <v>186</v>
      </c>
      <c r="C9" s="109"/>
      <c r="D9" s="110"/>
      <c r="E9" s="10">
        <f>SUM(E7:E8)</f>
        <v>336578.29391454457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6" t="s">
        <v>188</v>
      </c>
      <c r="C11" s="77"/>
      <c r="D11" s="77"/>
      <c r="E11" s="77"/>
      <c r="F11" s="7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165</v>
      </c>
      <c r="C14" s="98"/>
      <c r="D14" s="98"/>
      <c r="E14" s="98"/>
      <c r="F14" s="99"/>
      <c r="G14" s="1"/>
    </row>
    <row r="15" spans="1:7" x14ac:dyDescent="0.25">
      <c r="A15" s="1"/>
      <c r="B15" s="100" t="s">
        <v>166</v>
      </c>
      <c r="C15" s="101"/>
      <c r="D15" s="102"/>
      <c r="E15" s="9">
        <v>9776571.9629499633</v>
      </c>
      <c r="F15" s="14" t="s">
        <v>3</v>
      </c>
      <c r="G15" s="1"/>
    </row>
    <row r="16" spans="1:7" x14ac:dyDescent="0.25">
      <c r="A16" s="1"/>
      <c r="B16" s="100" t="s">
        <v>167</v>
      </c>
      <c r="C16" s="101"/>
      <c r="D16" s="102"/>
      <c r="E16" s="9">
        <v>7414551</v>
      </c>
      <c r="F16" s="14" t="s">
        <v>3</v>
      </c>
      <c r="G16" s="1"/>
    </row>
    <row r="17" spans="1:7" x14ac:dyDescent="0.25">
      <c r="A17" s="1"/>
      <c r="B17" s="100" t="s">
        <v>49</v>
      </c>
      <c r="C17" s="101"/>
      <c r="D17" s="102"/>
      <c r="E17" s="9">
        <v>0</v>
      </c>
      <c r="F17" s="14" t="s">
        <v>3</v>
      </c>
      <c r="G17" s="1"/>
    </row>
    <row r="18" spans="1:7" x14ac:dyDescent="0.25">
      <c r="A18" s="1"/>
      <c r="B18" s="108" t="s">
        <v>187</v>
      </c>
      <c r="C18" s="109"/>
      <c r="D18" s="110"/>
      <c r="E18" s="10">
        <f>E15-(E16-E17)</f>
        <v>2362020.9629499633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6" t="s">
        <v>189</v>
      </c>
      <c r="C20" s="77"/>
      <c r="D20" s="77"/>
      <c r="E20" s="77"/>
      <c r="F20" s="7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7" t="s">
        <v>77</v>
      </c>
      <c r="C23" s="98"/>
      <c r="D23" s="98"/>
      <c r="E23" s="98"/>
      <c r="F23" s="99"/>
      <c r="G23" s="1"/>
    </row>
    <row r="24" spans="1:7" x14ac:dyDescent="0.25">
      <c r="A24" s="1"/>
      <c r="B24" s="100" t="s">
        <v>78</v>
      </c>
      <c r="C24" s="101"/>
      <c r="D24" s="102"/>
      <c r="E24" s="9">
        <v>7649566.1534352554</v>
      </c>
      <c r="F24" s="14" t="s">
        <v>3</v>
      </c>
      <c r="G24" s="1"/>
    </row>
    <row r="25" spans="1:7" x14ac:dyDescent="0.25">
      <c r="A25" s="1"/>
      <c r="B25" s="100" t="s">
        <v>79</v>
      </c>
      <c r="C25" s="101"/>
      <c r="D25" s="102"/>
      <c r="E25" s="9">
        <v>7859814</v>
      </c>
      <c r="F25" s="14" t="s">
        <v>3</v>
      </c>
      <c r="G25" s="1"/>
    </row>
    <row r="26" spans="1:7" x14ac:dyDescent="0.25">
      <c r="A26" s="1"/>
      <c r="B26" s="100" t="s">
        <v>49</v>
      </c>
      <c r="C26" s="101"/>
      <c r="D26" s="102"/>
      <c r="E26" s="9">
        <v>0</v>
      </c>
      <c r="F26" s="14" t="s">
        <v>3</v>
      </c>
      <c r="G26" s="1"/>
    </row>
    <row r="27" spans="1:7" x14ac:dyDescent="0.25">
      <c r="A27" s="1"/>
      <c r="B27" s="108" t="s">
        <v>187</v>
      </c>
      <c r="C27" s="109"/>
      <c r="D27" s="110"/>
      <c r="E27" s="10">
        <f>E24-(E25-E26)</f>
        <v>-210247.8465647446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7" t="s">
        <v>239</v>
      </c>
      <c r="C31" s="98"/>
      <c r="D31" s="98"/>
      <c r="E31" s="98"/>
      <c r="F31" s="99"/>
      <c r="G31" s="1"/>
    </row>
    <row r="32" spans="1:7" x14ac:dyDescent="0.25">
      <c r="A32" s="1"/>
      <c r="B32" s="108" t="s">
        <v>240</v>
      </c>
      <c r="C32" s="109"/>
      <c r="D32" s="110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168289.14695727229</v>
      </c>
      <c r="F32" s="17" t="s">
        <v>3</v>
      </c>
      <c r="G32" s="1"/>
    </row>
    <row r="33" spans="1:7" x14ac:dyDescent="0.25">
      <c r="A33" s="1"/>
      <c r="B33" s="97"/>
      <c r="C33" s="98"/>
      <c r="D33" s="98"/>
      <c r="E33" s="98"/>
      <c r="F33" s="99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180</v>
      </c>
      <c r="C36" s="98"/>
      <c r="D36" s="98"/>
      <c r="E36" s="98"/>
      <c r="F36" s="99"/>
      <c r="G36" s="1"/>
    </row>
    <row r="37" spans="1:7" x14ac:dyDescent="0.25">
      <c r="A37" s="1"/>
      <c r="B37" s="111" t="s">
        <v>53</v>
      </c>
      <c r="C37" s="112"/>
      <c r="D37" s="113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1" t="s">
        <v>185</v>
      </c>
      <c r="C38" s="112"/>
      <c r="D38" s="113"/>
      <c r="E38" s="9">
        <v>2</v>
      </c>
      <c r="F38" s="14" t="s">
        <v>27</v>
      </c>
      <c r="G38" s="1"/>
    </row>
    <row r="39" spans="1:7" ht="15" customHeight="1" x14ac:dyDescent="0.25">
      <c r="A39" s="1"/>
      <c r="B39" s="108" t="s">
        <v>227</v>
      </c>
      <c r="C39" s="109"/>
      <c r="D39" s="110"/>
      <c r="E39" s="10">
        <f>E37/E38</f>
        <v>0</v>
      </c>
      <c r="F39" s="17" t="s">
        <v>3</v>
      </c>
      <c r="G39" s="1"/>
    </row>
    <row r="40" spans="1:7" x14ac:dyDescent="0.25">
      <c r="A40" s="1"/>
      <c r="B40" s="97"/>
      <c r="C40" s="98"/>
      <c r="D40" s="98"/>
      <c r="E40" s="98"/>
      <c r="F40" s="99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GvoTv7sJwLLMyxOkz5En6I6bVObOI9u8wQKEdavRmFH3cm0uv+J8RjgVoy94jdniZGfucXzWteUYIX1lkqZHQ==" saltValue="0bm4+GOBZeZhrPf6eL+ul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228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159</v>
      </c>
      <c r="C8" s="98"/>
      <c r="D8" s="98"/>
      <c r="E8" s="98"/>
      <c r="F8" s="98"/>
      <c r="G8" s="1"/>
    </row>
    <row r="9" spans="1:7" ht="29.25" customHeight="1" x14ac:dyDescent="0.25">
      <c r="A9" s="1"/>
      <c r="B9" s="88" t="s">
        <v>164</v>
      </c>
      <c r="C9" s="89"/>
      <c r="D9" s="90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tMS7QpPy//47qaCN1iNDglnIzTUrA2yobRvoJPhA4iF/lJfsq2aYq0bQazAOVPiJhStTcsTfvySC5GcN/YQaw==" saltValue="WacJGOvJXdwdoYkeO6lVq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229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230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51" t="s">
        <v>234</v>
      </c>
      <c r="C10" s="52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7" t="s">
        <v>231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XTOd/CqO81yAb/NWsESJ6zyriA20bNSCNh+n0QPcMefMX0w3GdFQlRwliJBW/duYhvGVUvUZ0Vt7B0iS35emQ==" saltValue="fWjLJA9blu+bUDUrPq8Jz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206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wbJqglHA477CcfnDyJTGXZq18pRPPy/0wbj14DynKmhgJENNyYIUt2a7iOxSWzEeDPPyZ07Lcixbt8DVSpFeQ==" saltValue="mW4NGf74ymMa4UDL+vEG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207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168</v>
      </c>
      <c r="C8" s="98"/>
      <c r="D8" s="98"/>
      <c r="E8" s="98"/>
      <c r="F8" s="99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169</v>
      </c>
      <c r="C16" s="98"/>
      <c r="D16" s="98"/>
      <c r="E16" s="98"/>
      <c r="F16" s="99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170</v>
      </c>
      <c r="C24" s="98"/>
      <c r="D24" s="98"/>
      <c r="E24" s="98"/>
      <c r="F24" s="99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171</v>
      </c>
      <c r="C32" s="98"/>
      <c r="D32" s="98"/>
      <c r="E32" s="98"/>
      <c r="F32" s="99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kNoIb0ZbsvjVEdJEOYJVzAfE66HSoefSWOQbnycp9v9H8Vx1YZ5r/44XjafgOvTfLLl/FvJqKE/Bzx8jxTM5w==" saltValue="ntqlTUtCbIBiYK3R+BMK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208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31</v>
      </c>
      <c r="C8" s="98"/>
      <c r="D8" s="98"/>
      <c r="E8" s="98"/>
      <c r="F8" s="99"/>
      <c r="G8" s="1"/>
    </row>
    <row r="9" spans="1:7" ht="15" customHeight="1" x14ac:dyDescent="0.25">
      <c r="A9" s="1"/>
      <c r="B9" s="41" t="s">
        <v>32</v>
      </c>
      <c r="C9" s="88" t="s">
        <v>16</v>
      </c>
      <c r="D9" s="90"/>
      <c r="E9" s="88" t="s">
        <v>47</v>
      </c>
      <c r="F9" s="90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om1w7Gn1qUzdcJ7oVcdvalJzg5+7F2KScp1EqAejLd8msD1ODAFHdYOv2aKXRqgrZniyFMNjewjJeabjUFGEg==" saltValue="0ivwfLvfKffAoh2JB1y/9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209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157</v>
      </c>
      <c r="C15" s="98"/>
      <c r="D15" s="98"/>
      <c r="E15" s="98"/>
      <c r="F15" s="99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155</v>
      </c>
      <c r="C22" s="98"/>
      <c r="D22" s="98"/>
      <c r="E22" s="98"/>
      <c r="F22" s="99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158</v>
      </c>
      <c r="C29" s="98"/>
      <c r="D29" s="98"/>
      <c r="E29" s="98"/>
      <c r="F29" s="99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NhZmwm0isyVc0av84FM7Ve5l4voBo2EQxt/VvSODQWqajGyIPc6i+i624ssZ2KiyD4BL1/7rid2RlQKeAP1LA==" saltValue="VFNEynxtvzbrgDQNeFK4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210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18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</v>
      </c>
      <c r="C9" s="101"/>
      <c r="D9" s="101"/>
      <c r="E9" s="101"/>
      <c r="F9" s="102"/>
      <c r="G9" s="9">
        <v>9987</v>
      </c>
      <c r="H9" s="14" t="s">
        <v>3</v>
      </c>
      <c r="I9" s="1"/>
    </row>
    <row r="10" spans="1:9" x14ac:dyDescent="0.25">
      <c r="A10" s="1"/>
      <c r="B10" s="100" t="s">
        <v>135</v>
      </c>
      <c r="C10" s="101"/>
      <c r="D10" s="101"/>
      <c r="E10" s="101"/>
      <c r="F10" s="102"/>
      <c r="G10" s="9">
        <v>0</v>
      </c>
      <c r="H10" s="14" t="s">
        <v>3</v>
      </c>
      <c r="I10" s="1"/>
    </row>
    <row r="11" spans="1:9" x14ac:dyDescent="0.25">
      <c r="A11" s="1"/>
      <c r="B11" s="100" t="s">
        <v>80</v>
      </c>
      <c r="C11" s="101"/>
      <c r="D11" s="101"/>
      <c r="E11" s="101"/>
      <c r="F11" s="102"/>
      <c r="G11" s="9">
        <v>-9987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100" t="s">
        <v>13</v>
      </c>
      <c r="C13" s="101"/>
      <c r="D13" s="101"/>
      <c r="E13" s="101"/>
      <c r="F13" s="102"/>
      <c r="G13" s="9">
        <v>0</v>
      </c>
      <c r="H13" s="14" t="s">
        <v>27</v>
      </c>
      <c r="I13" s="1"/>
    </row>
    <row r="14" spans="1:9" x14ac:dyDescent="0.25">
      <c r="A14" s="1"/>
      <c r="B14" s="97" t="s">
        <v>136</v>
      </c>
      <c r="C14" s="98"/>
      <c r="D14" s="98"/>
      <c r="E14" s="98"/>
      <c r="F14" s="99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kNaQtW5oxSdze0QT8fp7IMHq1kjt25cGz6Jpm4j5oet4FWti5XWIAgcPw0H8+0JgWCJYzabmSvL411GJaT47g==" saltValue="yt/rvJ8xmO2Mx0ksVik1I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54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7"/>
      <c r="C13" s="99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kFmINPDOaza8xCjlpuXx3GSjQdHDn+WvXXcKJ0T7P7nsKPOdyHG7PpJvTzIx/HAluw0f5+j7zysJ4VRMh2HJqA==" saltValue="TAeshM/z0Lr6B8S/6KUeF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65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5174826.742433981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87454.571947134275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-105245.6262876223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-61380.277813019689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-22032.501435393624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5073622.9088450801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omk.'!C13</f>
        <v>2537601.79385691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168289.14695727229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7779513.8496592622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OVWZWFZhO1IpDZE0StYCKnSxScPVseHG7+UCBuWM4hn6v6DOuADrGVux7JLwqOhwoKhiij76BPJAOE+19E+4w==" saltValue="UXpx2g0TLtMcPYUItASF7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85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29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5073622.9088450801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99950.371304248067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-103471.46560298657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-61337.679900217459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-72701.005924326353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4936063.1287217978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omk.'!C13*(1+'Fane 14. Nøgletal'!C12)</f>
        <v>2587592.5491958912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7523655.6779176891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N3ZPxKkteqPy7quQvMWAHfGeZQg3r/bjBWGFlI75Hc4mSH43ByCE/qRrFCRoA2ILbgS7NlfFv1E4opst6pe3Q==" saltValue="JYqtecGigqjDZ4b/+0o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29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4936063.1287217978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97240.443635819407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-100666.07144715235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-61295.11155036671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-72027.832413990182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4799314.5569461081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omk.'!C13*(1+'Fane 14. Nøgletal'!C12)^2</f>
        <v>2638568.1224150504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7437882.679361159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mkIM8YWWq/c7hv4KJs66qD/tG1Bf08wDz/z60F3YV4esrPOzItrgYzrKtxAKCREZbx+gObzUcv/8kvviR5mkg==" saltValue="Y4X/d2Nh0YJwWUQda2Vq6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29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4799314.5569461081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94546.496771838327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-97877.221074358938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-61252.572742950768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-71360.892140309501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4663370.3677603276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omk.'!C13*(1+'Fane 14. Nøgletal'!C12)^3</f>
        <v>2690547.9144266266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7353918.2821869543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l3PNGGq5f8Y9UDL312QbeSHxuxvXdh/CMn3V6mQeiuPiV3QLt6N7iiXSJjWKDgDou3XgaN4GX7SCasFuG5zcw==" saltValue="dr14FFTiE1CimgyXVLcX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221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2" t="s">
        <v>81</v>
      </c>
      <c r="C9" s="93"/>
      <c r="D9" s="94"/>
      <c r="E9" s="7">
        <v>5267701.1878042715</v>
      </c>
      <c r="F9" s="8" t="s">
        <v>3</v>
      </c>
      <c r="G9" s="1"/>
    </row>
    <row r="10" spans="1:7" x14ac:dyDescent="0.25">
      <c r="A10" s="1"/>
      <c r="B10" s="92" t="s">
        <v>82</v>
      </c>
      <c r="C10" s="93"/>
      <c r="D10" s="94"/>
      <c r="E10" s="7">
        <v>0</v>
      </c>
      <c r="F10" s="8" t="s">
        <v>3</v>
      </c>
      <c r="G10" s="1"/>
    </row>
    <row r="11" spans="1:7" x14ac:dyDescent="0.25">
      <c r="A11" s="1"/>
      <c r="B11" s="92" t="s">
        <v>83</v>
      </c>
      <c r="C11" s="93"/>
      <c r="D11" s="94"/>
      <c r="E11" s="7">
        <v>8714.3943805234212</v>
      </c>
      <c r="F11" s="8" t="s">
        <v>3</v>
      </c>
      <c r="G11" s="1"/>
    </row>
    <row r="12" spans="1:7" x14ac:dyDescent="0.25">
      <c r="A12" s="1"/>
      <c r="B12" s="79" t="s">
        <v>67</v>
      </c>
      <c r="C12" s="80"/>
      <c r="D12" s="81"/>
      <c r="E12" s="7">
        <v>0</v>
      </c>
      <c r="F12" s="8" t="s">
        <v>3</v>
      </c>
      <c r="G12" s="1"/>
    </row>
    <row r="13" spans="1:7" x14ac:dyDescent="0.25">
      <c r="A13" s="1"/>
      <c r="B13" s="79" t="s">
        <v>68</v>
      </c>
      <c r="C13" s="80"/>
      <c r="D13" s="81"/>
      <c r="E13" s="9">
        <v>0</v>
      </c>
      <c r="F13" s="8" t="s">
        <v>3</v>
      </c>
      <c r="G13" s="1"/>
    </row>
    <row r="14" spans="1:7" x14ac:dyDescent="0.25">
      <c r="A14" s="1"/>
      <c r="B14" s="79" t="s">
        <v>41</v>
      </c>
      <c r="C14" s="80"/>
      <c r="D14" s="81"/>
      <c r="E14" s="9">
        <v>0</v>
      </c>
      <c r="F14" s="8" t="s">
        <v>3</v>
      </c>
      <c r="G14" s="1"/>
    </row>
    <row r="15" spans="1:7" x14ac:dyDescent="0.25">
      <c r="A15" s="1"/>
      <c r="B15" s="79" t="s">
        <v>40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79" t="s">
        <v>43</v>
      </c>
      <c r="C16" s="80"/>
      <c r="D16" s="81"/>
      <c r="E16" s="9">
        <v>0</v>
      </c>
      <c r="F16" s="8" t="s">
        <v>3</v>
      </c>
      <c r="G16" s="1"/>
    </row>
    <row r="17" spans="1:7" x14ac:dyDescent="0.25">
      <c r="A17" s="1"/>
      <c r="B17" s="79" t="s">
        <v>42</v>
      </c>
      <c r="C17" s="80"/>
      <c r="D17" s="81"/>
      <c r="E17" s="9">
        <v>0</v>
      </c>
      <c r="F17" s="8" t="s">
        <v>3</v>
      </c>
      <c r="G17" s="1"/>
    </row>
    <row r="18" spans="1:7" x14ac:dyDescent="0.25">
      <c r="A18" s="1"/>
      <c r="B18" s="79" t="s">
        <v>26</v>
      </c>
      <c r="C18" s="80"/>
      <c r="D18" s="81"/>
      <c r="E18" s="9">
        <f>SUM(E9:E17)*'Fane 14. Nøgletal'!C11</f>
        <v>89171.423338923036</v>
      </c>
      <c r="F18" s="8" t="s">
        <v>3</v>
      </c>
      <c r="G18" s="1"/>
    </row>
    <row r="19" spans="1:7" x14ac:dyDescent="0.25">
      <c r="A19" s="1"/>
      <c r="B19" s="79" t="s">
        <v>10</v>
      </c>
      <c r="C19" s="80"/>
      <c r="D19" s="81"/>
      <c r="E19" s="9">
        <f>-SUM(E9:E18)*'Fane 5. Individuelt eff. krav'!G10</f>
        <v>-107311.74011047436</v>
      </c>
      <c r="F19" s="8" t="s">
        <v>3</v>
      </c>
      <c r="G19" s="1"/>
    </row>
    <row r="20" spans="1:7" x14ac:dyDescent="0.25">
      <c r="A20" s="1"/>
      <c r="B20" s="79" t="s">
        <v>38</v>
      </c>
      <c r="C20" s="80"/>
      <c r="D20" s="81"/>
      <c r="E20" s="9">
        <f>-'Fane 4.1. Gen. krav - drift'!G20</f>
        <v>-61592.031216341471</v>
      </c>
      <c r="F20" s="8" t="s">
        <v>3</v>
      </c>
      <c r="G20" s="1"/>
    </row>
    <row r="21" spans="1:7" x14ac:dyDescent="0.25">
      <c r="A21" s="1"/>
      <c r="B21" s="79" t="s">
        <v>39</v>
      </c>
      <c r="C21" s="80"/>
      <c r="D21" s="81"/>
      <c r="E21" s="9">
        <f>-'Fane 4.2. Gen. krav - anlæg'!G19</f>
        <v>-21856.491762921574</v>
      </c>
      <c r="F21" s="8" t="s">
        <v>3</v>
      </c>
      <c r="G21" s="1"/>
    </row>
    <row r="22" spans="1:7" x14ac:dyDescent="0.25">
      <c r="A22" s="1"/>
      <c r="B22" s="82" t="s">
        <v>28</v>
      </c>
      <c r="C22" s="83"/>
      <c r="D22" s="84"/>
      <c r="E22" s="10">
        <f>SUM(E9:E21)</f>
        <v>5174826.742433981</v>
      </c>
      <c r="F22" s="11" t="s">
        <v>3</v>
      </c>
      <c r="G22" s="1"/>
    </row>
    <row r="23" spans="1:7" x14ac:dyDescent="0.25">
      <c r="A23" s="1"/>
      <c r="B23" s="95" t="s">
        <v>17</v>
      </c>
      <c r="C23" s="96"/>
      <c r="D23" s="96"/>
      <c r="E23" s="40"/>
      <c r="F23" s="22"/>
      <c r="G23" s="1"/>
    </row>
    <row r="24" spans="1:7" x14ac:dyDescent="0.25">
      <c r="A24" s="1"/>
      <c r="B24" s="85" t="s">
        <v>17</v>
      </c>
      <c r="C24" s="86"/>
      <c r="D24" s="87"/>
      <c r="E24" s="10">
        <v>2252434.9348458997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8" t="s">
        <v>132</v>
      </c>
      <c r="C26" s="89"/>
      <c r="D26" s="90"/>
      <c r="E26" s="10">
        <v>12461.272364732966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5" t="s">
        <v>19</v>
      </c>
      <c r="C28" s="86"/>
      <c r="D28" s="87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5" t="s">
        <v>131</v>
      </c>
      <c r="C30" s="86"/>
      <c r="D30" s="87"/>
      <c r="E30" s="10">
        <v>177070.82942847512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7616793.7790730894</v>
      </c>
      <c r="F31" s="13" t="s">
        <v>3</v>
      </c>
      <c r="G31" s="1"/>
    </row>
    <row r="32" spans="1:7" ht="28.15" customHeight="1" x14ac:dyDescent="0.25">
      <c r="A32" s="1"/>
      <c r="B32" s="76" t="s">
        <v>189</v>
      </c>
      <c r="C32" s="77"/>
      <c r="D32" s="77"/>
      <c r="E32" s="77"/>
      <c r="F32" s="7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hEeKvo92QqS72/8N8yFCGrTbK0pYrNTkfHnrXs24Q+1OhkfGo4ft4oSQ8mp5DjnsCpaFnoCQZLBJagQbaPm7A==" saltValue="Pno+/yKQW6o+GSRiQH1ab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4" t="s">
        <v>202</v>
      </c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97" t="s">
        <v>97</v>
      </c>
      <c r="C5" s="98"/>
      <c r="D5" s="98"/>
      <c r="E5" s="98"/>
      <c r="F5" s="98"/>
      <c r="G5" s="98"/>
      <c r="H5" s="99"/>
      <c r="I5" s="1"/>
    </row>
    <row r="6" spans="1:9" x14ac:dyDescent="0.25">
      <c r="A6" s="1"/>
      <c r="B6" s="100" t="s">
        <v>86</v>
      </c>
      <c r="C6" s="101"/>
      <c r="D6" s="101"/>
      <c r="E6" s="101"/>
      <c r="F6" s="102"/>
      <c r="G6" s="26">
        <v>3113747.0018212935</v>
      </c>
      <c r="H6" s="14" t="s">
        <v>3</v>
      </c>
      <c r="I6" s="1"/>
    </row>
    <row r="7" spans="1:9" x14ac:dyDescent="0.25">
      <c r="A7" s="1"/>
      <c r="B7" s="100" t="s">
        <v>87</v>
      </c>
      <c r="C7" s="101"/>
      <c r="D7" s="101"/>
      <c r="E7" s="101"/>
      <c r="F7" s="102"/>
      <c r="G7" s="26">
        <f>G6*'Fane 14. Nøgletal'!C25</f>
        <v>62274.940036425869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7" t="s">
        <v>98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88</v>
      </c>
      <c r="C11" s="101"/>
      <c r="D11" s="101"/>
      <c r="E11" s="101"/>
      <c r="F11" s="102"/>
      <c r="G11" s="26">
        <f>(G6-G7)*(1+'Fane 14. Nøgletal'!C9)</f>
        <v>3090225.7569695353</v>
      </c>
      <c r="H11" s="14" t="s">
        <v>3</v>
      </c>
      <c r="I11" s="1"/>
    </row>
    <row r="12" spans="1:9" x14ac:dyDescent="0.25">
      <c r="A12" s="1"/>
      <c r="B12" s="103" t="s">
        <v>89</v>
      </c>
      <c r="C12" s="104"/>
      <c r="D12" s="104"/>
      <c r="E12" s="104"/>
      <c r="F12" s="105"/>
      <c r="G12" s="26">
        <v>0</v>
      </c>
      <c r="H12" s="14" t="s">
        <v>3</v>
      </c>
      <c r="I12" s="1"/>
    </row>
    <row r="13" spans="1:9" x14ac:dyDescent="0.25">
      <c r="A13" s="1"/>
      <c r="B13" s="100" t="s">
        <v>90</v>
      </c>
      <c r="C13" s="101"/>
      <c r="D13" s="101"/>
      <c r="E13" s="101"/>
      <c r="F13" s="102"/>
      <c r="G13" s="26">
        <f>(G11+G12)*'Fane 14. Nøgletal'!C25</f>
        <v>61804.515139390707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99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0" t="s">
        <v>91</v>
      </c>
      <c r="C17" s="101"/>
      <c r="D17" s="101"/>
      <c r="E17" s="101"/>
      <c r="F17" s="102"/>
      <c r="G17" s="26">
        <f>(G13/'Fane 14. Nøgletal'!C25-G13)*(1+'Fane 14. Nøgletal'!C11)</f>
        <v>3079601.5608170736</v>
      </c>
      <c r="H17" s="14" t="s">
        <v>3</v>
      </c>
      <c r="I17" s="1"/>
    </row>
    <row r="18" spans="1:9" x14ac:dyDescent="0.25">
      <c r="A18" s="1"/>
      <c r="B18" s="100" t="s">
        <v>222</v>
      </c>
      <c r="C18" s="101"/>
      <c r="D18" s="101"/>
      <c r="E18" s="101"/>
      <c r="F18" s="102"/>
      <c r="G18" s="26">
        <v>0</v>
      </c>
      <c r="H18" s="14" t="s">
        <v>3</v>
      </c>
      <c r="I18" s="1"/>
    </row>
    <row r="19" spans="1:9" x14ac:dyDescent="0.25">
      <c r="A19" s="1"/>
      <c r="B19" s="103" t="s">
        <v>92</v>
      </c>
      <c r="C19" s="104"/>
      <c r="D19" s="104"/>
      <c r="E19" s="104"/>
      <c r="F19" s="105"/>
      <c r="G19" s="26">
        <v>0</v>
      </c>
      <c r="H19" s="14" t="s">
        <v>3</v>
      </c>
      <c r="I19" s="1"/>
    </row>
    <row r="20" spans="1:9" x14ac:dyDescent="0.25">
      <c r="A20" s="1"/>
      <c r="B20" s="100" t="s">
        <v>93</v>
      </c>
      <c r="C20" s="101"/>
      <c r="D20" s="101"/>
      <c r="E20" s="101"/>
      <c r="F20" s="102"/>
      <c r="G20" s="26">
        <f>SUM(G17:G19)*'Fane 14. Nøgletal'!C25</f>
        <v>61592.031216341471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7" t="s">
        <v>100</v>
      </c>
      <c r="C23" s="98"/>
      <c r="D23" s="98"/>
      <c r="E23" s="98"/>
      <c r="F23" s="98"/>
      <c r="G23" s="98"/>
      <c r="H23" s="99"/>
      <c r="I23" s="1"/>
    </row>
    <row r="24" spans="1:9" x14ac:dyDescent="0.25">
      <c r="A24" s="1"/>
      <c r="B24" s="100" t="s">
        <v>94</v>
      </c>
      <c r="C24" s="101"/>
      <c r="D24" s="101"/>
      <c r="E24" s="101"/>
      <c r="F24" s="102"/>
      <c r="G24" s="26">
        <f>(SUM(G17:G19)-G20)*(1+'Fane 14. Nøgletal'!C11)</f>
        <v>3069013.8906509844</v>
      </c>
      <c r="H24" s="14" t="s">
        <v>3</v>
      </c>
      <c r="I24" s="1"/>
    </row>
    <row r="25" spans="1:9" x14ac:dyDescent="0.25">
      <c r="A25" s="1"/>
      <c r="B25" s="103" t="s">
        <v>95</v>
      </c>
      <c r="C25" s="104"/>
      <c r="D25" s="104"/>
      <c r="E25" s="104"/>
      <c r="F25" s="105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100" t="s">
        <v>96</v>
      </c>
      <c r="C26" s="101"/>
      <c r="D26" s="101"/>
      <c r="E26" s="101"/>
      <c r="F26" s="102"/>
      <c r="G26" s="26">
        <f>(G24+G25)*'Fane 14. Nøgletal'!C25</f>
        <v>61380.277813019689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7" t="s">
        <v>191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0" t="s">
        <v>103</v>
      </c>
      <c r="C30" s="101"/>
      <c r="D30" s="101"/>
      <c r="E30" s="101"/>
      <c r="F30" s="102"/>
      <c r="G30" s="26">
        <f>(G24+G25-G26)*(1+'Fane 14. Nøgletal'!C12)</f>
        <v>3066883.9950108728</v>
      </c>
      <c r="H30" s="14" t="s">
        <v>3</v>
      </c>
      <c r="I30" s="1"/>
    </row>
    <row r="31" spans="1:9" x14ac:dyDescent="0.25">
      <c r="A31" s="1"/>
      <c r="B31" s="100" t="s">
        <v>145</v>
      </c>
      <c r="C31" s="101"/>
      <c r="D31" s="101"/>
      <c r="E31" s="101"/>
      <c r="F31" s="102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0" t="s">
        <v>220</v>
      </c>
      <c r="C32" s="101"/>
      <c r="D32" s="101"/>
      <c r="E32" s="101"/>
      <c r="F32" s="102"/>
      <c r="G32" s="26">
        <f>(G30+G31)*'Fane 14. Nøgletal'!C25</f>
        <v>61337.679900217459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7" t="s">
        <v>126</v>
      </c>
      <c r="C35" s="98"/>
      <c r="D35" s="98"/>
      <c r="E35" s="98"/>
      <c r="F35" s="98"/>
      <c r="G35" s="98"/>
      <c r="H35" s="99"/>
      <c r="I35" s="1"/>
    </row>
    <row r="36" spans="1:9" x14ac:dyDescent="0.25">
      <c r="A36" s="1"/>
      <c r="B36" s="100" t="s">
        <v>125</v>
      </c>
      <c r="C36" s="101"/>
      <c r="D36" s="101"/>
      <c r="E36" s="101"/>
      <c r="F36" s="102"/>
      <c r="G36" s="26">
        <f>(G30-G32)*(1+'Fane 14. Nøgletal'!C12)</f>
        <v>3064755.5775183355</v>
      </c>
      <c r="H36" s="14" t="s">
        <v>3</v>
      </c>
      <c r="I36" s="1"/>
    </row>
    <row r="37" spans="1:9" x14ac:dyDescent="0.25">
      <c r="A37" s="1"/>
      <c r="B37" s="100" t="s">
        <v>146</v>
      </c>
      <c r="C37" s="101"/>
      <c r="D37" s="101"/>
      <c r="E37" s="101"/>
      <c r="F37" s="102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0" t="s">
        <v>104</v>
      </c>
      <c r="C38" s="101"/>
      <c r="D38" s="101"/>
      <c r="E38" s="101"/>
      <c r="F38" s="102"/>
      <c r="G38" s="26">
        <f>(G36+G37)*'Fane 14. Nøgletal'!C25</f>
        <v>61295.11155036671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7" t="s">
        <v>127</v>
      </c>
      <c r="C41" s="98"/>
      <c r="D41" s="98"/>
      <c r="E41" s="98"/>
      <c r="F41" s="98"/>
      <c r="G41" s="98"/>
      <c r="H41" s="99"/>
      <c r="I41" s="1"/>
    </row>
    <row r="42" spans="1:9" x14ac:dyDescent="0.25">
      <c r="A42" s="1"/>
      <c r="B42" s="100" t="s">
        <v>124</v>
      </c>
      <c r="C42" s="101"/>
      <c r="D42" s="101"/>
      <c r="E42" s="101"/>
      <c r="F42" s="102"/>
      <c r="G42" s="26">
        <f>(G36-G38)*(1+'Fane 14. Nøgletal'!C12)</f>
        <v>3062628.6371475384</v>
      </c>
      <c r="H42" s="14" t="s">
        <v>3</v>
      </c>
      <c r="I42" s="1"/>
    </row>
    <row r="43" spans="1:9" x14ac:dyDescent="0.25">
      <c r="A43" s="1"/>
      <c r="B43" s="100" t="s">
        <v>147</v>
      </c>
      <c r="C43" s="101"/>
      <c r="D43" s="101"/>
      <c r="E43" s="101"/>
      <c r="F43" s="102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0" t="s">
        <v>105</v>
      </c>
      <c r="C44" s="101"/>
      <c r="D44" s="101"/>
      <c r="E44" s="101"/>
      <c r="F44" s="102"/>
      <c r="G44" s="26">
        <f>(G42+G43)*'Fane 14. Nøgletal'!C25</f>
        <v>61252.572742950768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uQ8ayDwAjQtmmXCx6jy2gS5Jx/pBGUcwkJZMahcV5GLMmn8xTOVVxMlCcshW9+39QtOvmKcqxPcbi9zm9e0sg==" saltValue="ffk51Lb4dMD+1jy8/zCtC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203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7" t="s">
        <v>101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106</v>
      </c>
      <c r="C5" s="101"/>
      <c r="D5" s="101"/>
      <c r="E5" s="101"/>
      <c r="F5" s="102"/>
      <c r="G5" s="26">
        <v>2475756.0547162858</v>
      </c>
      <c r="H5" s="14" t="s">
        <v>3</v>
      </c>
      <c r="I5" s="1"/>
    </row>
    <row r="6" spans="1:9" x14ac:dyDescent="0.25">
      <c r="A6" s="1"/>
      <c r="B6" s="100" t="s">
        <v>102</v>
      </c>
      <c r="C6" s="101"/>
      <c r="D6" s="101"/>
      <c r="E6" s="101"/>
      <c r="F6" s="102"/>
      <c r="G6" s="26">
        <f>G5*'Fane 14. Nøgletal'!C17</f>
        <v>22529.380097918201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107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108</v>
      </c>
      <c r="C10" s="101"/>
      <c r="D10" s="101"/>
      <c r="E10" s="101"/>
      <c r="F10" s="102"/>
      <c r="G10" s="26">
        <f>(G5-G6)*(1+'Fane 14. Nøgletal'!C9)</f>
        <v>2484382.6533860206</v>
      </c>
      <c r="H10" s="14" t="s">
        <v>3</v>
      </c>
      <c r="I10" s="1"/>
    </row>
    <row r="11" spans="1:9" x14ac:dyDescent="0.25">
      <c r="A11" s="1"/>
      <c r="B11" s="103" t="s">
        <v>109</v>
      </c>
      <c r="C11" s="104"/>
      <c r="D11" s="104"/>
      <c r="E11" s="104"/>
      <c r="F11" s="105"/>
      <c r="G11" s="26">
        <v>0</v>
      </c>
      <c r="H11" s="14" t="s">
        <v>3</v>
      </c>
      <c r="I11" s="1"/>
    </row>
    <row r="12" spans="1:9" x14ac:dyDescent="0.25">
      <c r="A12" s="1"/>
      <c r="B12" s="100" t="s">
        <v>110</v>
      </c>
      <c r="C12" s="101"/>
      <c r="D12" s="101"/>
      <c r="E12" s="101"/>
      <c r="F12" s="102"/>
      <c r="G12" s="26">
        <f>G10*'Fane 14. Nøgletal'!C17+G11*'Fane 14. Nøgletal'!C18</f>
        <v>22607.88214581279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111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112</v>
      </c>
      <c r="C16" s="101"/>
      <c r="D16" s="101"/>
      <c r="E16" s="101"/>
      <c r="F16" s="102"/>
      <c r="G16" s="26">
        <f>(G10+G11-G12)*(1+'Fane 14. Nøgletal'!C11)</f>
        <v>2503378.7648741673</v>
      </c>
      <c r="H16" s="14" t="s">
        <v>3</v>
      </c>
      <c r="I16" s="1"/>
    </row>
    <row r="17" spans="1:9" x14ac:dyDescent="0.25">
      <c r="A17" s="1"/>
      <c r="B17" s="100" t="s">
        <v>223</v>
      </c>
      <c r="C17" s="101"/>
      <c r="D17" s="101"/>
      <c r="E17" s="101"/>
      <c r="F17" s="102"/>
      <c r="G17" s="26">
        <v>8861.6676455542656</v>
      </c>
      <c r="H17" s="14" t="s">
        <v>3</v>
      </c>
      <c r="I17" s="1"/>
    </row>
    <row r="18" spans="1:9" x14ac:dyDescent="0.25">
      <c r="A18" s="1"/>
      <c r="B18" s="103" t="s">
        <v>113</v>
      </c>
      <c r="C18" s="104"/>
      <c r="D18" s="104"/>
      <c r="E18" s="104"/>
      <c r="F18" s="105"/>
      <c r="G18" s="26">
        <v>0</v>
      </c>
      <c r="H18" s="14" t="s">
        <v>3</v>
      </c>
      <c r="I18" s="1"/>
    </row>
    <row r="19" spans="1:9" x14ac:dyDescent="0.25">
      <c r="A19" s="1"/>
      <c r="B19" s="100" t="s">
        <v>114</v>
      </c>
      <c r="C19" s="101"/>
      <c r="D19" s="101"/>
      <c r="E19" s="101"/>
      <c r="F19" s="102"/>
      <c r="G19" s="26">
        <f>SUM(G16:G18)*'Fane 14. Nøgletal'!C19</f>
        <v>21856.491762921574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115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116</v>
      </c>
      <c r="C23" s="101"/>
      <c r="D23" s="101"/>
      <c r="E23" s="101"/>
      <c r="F23" s="102"/>
      <c r="G23" s="26">
        <f>(SUM(G16:G18)-G19)*(1+'Fane 14. Nøgletal'!C11)</f>
        <v>2532471.4293555892</v>
      </c>
      <c r="H23" s="14" t="s">
        <v>3</v>
      </c>
      <c r="I23" s="1"/>
    </row>
    <row r="24" spans="1:9" x14ac:dyDescent="0.25">
      <c r="A24" s="1"/>
      <c r="B24" s="103" t="s">
        <v>117</v>
      </c>
      <c r="C24" s="104"/>
      <c r="D24" s="104"/>
      <c r="E24" s="104"/>
      <c r="F24" s="105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100" t="s">
        <v>118</v>
      </c>
      <c r="C25" s="101"/>
      <c r="D25" s="101"/>
      <c r="E25" s="101"/>
      <c r="F25" s="102"/>
      <c r="G25" s="26">
        <f>G23*'Fane 14. Nøgletal'!C19+G24*'Fane 14. Nøgletal'!C20</f>
        <v>22032.501435393624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190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119</v>
      </c>
      <c r="C29" s="101"/>
      <c r="D29" s="101"/>
      <c r="E29" s="101"/>
      <c r="F29" s="102"/>
      <c r="G29" s="26">
        <f>(G23+G24-G25)*(1+'Fane 14. Nøgletal'!C12)</f>
        <v>2559894.5748002236</v>
      </c>
      <c r="H29" s="14" t="s">
        <v>3</v>
      </c>
      <c r="I29" s="1"/>
    </row>
    <row r="30" spans="1:9" x14ac:dyDescent="0.25">
      <c r="A30" s="1"/>
      <c r="B30" s="100" t="s">
        <v>151</v>
      </c>
      <c r="C30" s="101"/>
      <c r="D30" s="101"/>
      <c r="E30" s="101"/>
      <c r="F30" s="102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0" t="s">
        <v>219</v>
      </c>
      <c r="C31" s="101"/>
      <c r="D31" s="101"/>
      <c r="E31" s="101"/>
      <c r="F31" s="102"/>
      <c r="G31" s="26">
        <f>(G29+G30)*'Fane 14. Nøgletal'!C20</f>
        <v>72701.005924326353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128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123</v>
      </c>
      <c r="C35" s="101"/>
      <c r="D35" s="101"/>
      <c r="E35" s="101"/>
      <c r="F35" s="102"/>
      <c r="G35" s="26">
        <f>(G29-G31)*(1+'Fane 14. Nøgletal'!C12)</f>
        <v>2536191.2821827526</v>
      </c>
      <c r="H35" s="14" t="s">
        <v>3</v>
      </c>
      <c r="I35" s="1"/>
    </row>
    <row r="36" spans="1:9" x14ac:dyDescent="0.25">
      <c r="A36" s="1"/>
      <c r="B36" s="100" t="s">
        <v>152</v>
      </c>
      <c r="C36" s="101"/>
      <c r="D36" s="101"/>
      <c r="E36" s="101"/>
      <c r="F36" s="102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0" t="s">
        <v>120</v>
      </c>
      <c r="C37" s="101"/>
      <c r="D37" s="101"/>
      <c r="E37" s="101"/>
      <c r="F37" s="102"/>
      <c r="G37" s="26">
        <f>(G35+G36)*'Fane 14. Nøgletal'!C20</f>
        <v>72027.832413990182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129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122</v>
      </c>
      <c r="C41" s="101"/>
      <c r="D41" s="101"/>
      <c r="E41" s="101"/>
      <c r="F41" s="102"/>
      <c r="G41" s="26">
        <f>(G35-G37)*(1+'Fane 14. Nøgletal'!C12)</f>
        <v>2512707.4697292075</v>
      </c>
      <c r="H41" s="14" t="s">
        <v>3</v>
      </c>
      <c r="I41" s="1"/>
    </row>
    <row r="42" spans="1:9" x14ac:dyDescent="0.25">
      <c r="A42" s="1"/>
      <c r="B42" s="100" t="s">
        <v>153</v>
      </c>
      <c r="C42" s="101"/>
      <c r="D42" s="101"/>
      <c r="E42" s="101"/>
      <c r="F42" s="102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0" t="s">
        <v>121</v>
      </c>
      <c r="C43" s="101"/>
      <c r="D43" s="101"/>
      <c r="E43" s="101"/>
      <c r="F43" s="102"/>
      <c r="G43" s="26">
        <f>(G41+G42)*'Fane 14. Nøgletal'!C20</f>
        <v>71360.892140309501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Tp847QleGwJJgEcsfKnFKWf8XjtKRH6oswsfLf09SCvntv1byWx7usY43XpJPovX1mnn2QM/Sf2mzRB3Txmcg==" saltValue="ShsQReHNTRbcFQxGw+18A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144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178</v>
      </c>
      <c r="C9" s="101"/>
      <c r="D9" s="101"/>
      <c r="E9" s="101"/>
      <c r="F9" s="102"/>
      <c r="G9" s="25">
        <v>0.02</v>
      </c>
      <c r="H9" s="14"/>
      <c r="I9" s="1"/>
    </row>
    <row r="10" spans="1:9" x14ac:dyDescent="0.25">
      <c r="A10" s="1"/>
      <c r="B10" s="100" t="s">
        <v>179</v>
      </c>
      <c r="C10" s="101"/>
      <c r="D10" s="101"/>
      <c r="E10" s="101"/>
      <c r="F10" s="102"/>
      <c r="G10" s="25">
        <v>0.02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32hSGP9+T1af8rutNCbjs3Ix2nTMFSGdCmeueP+v8/cixwuGBwIOhkWkUswZUNQw6av2DNBuruQ9ZhYPCMTVw==" saltValue="pgITncPtSFX1NqOIUcU3c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2019-10-08T14:07:25Z</dcterms:modified>
</cp:coreProperties>
</file>