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der Vandværk a.m.b.a. (V14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4" i="11" l="1"/>
  <c r="E13" i="11"/>
  <c r="E12" i="11"/>
  <c r="E11" i="11"/>
  <c r="E15" i="11" l="1"/>
  <c r="E16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7" i="11" l="1"/>
  <c r="C10" i="37" s="1"/>
  <c r="C12" i="37" s="1"/>
  <c r="C13" i="37" s="1"/>
  <c r="C10" i="2" s="1"/>
  <c r="G17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7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<sst xmlns="http://schemas.openxmlformats.org/spreadsheetml/2006/main" count="604" uniqueCount="249">
  <si>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</si>
  <si>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</si>
  <si>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</si>
  <si>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</si>
  <si>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</si>
  <si>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</si>
  <si>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</si>
  <si>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</si>
  <si>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</si>
  <si>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</si>
  <si>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</si>
  <si>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</si>
  <si>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</si>
  <si>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</si>
  <si>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</si>
  <si>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</si>
  <si>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</si>
  <si>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</si>
  <si>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</si>
  <si>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</si>
  <si>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</si>
  <si>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</si>
  <si>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</si>
  <si>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</si>
  <si>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</si>
  <si>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</si>
  <si>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</si>
  <si>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</si>
  <si>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</si>
  <si>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</si>
  <si>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</si>
  <si>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</si>
  <si>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</si>
  <si>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</si>
  <si>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</si>
  <si>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</si>
  <si>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</si>
  <si>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</si>
  <si>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</si>
  <si>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</si>
  <si>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</si>
  <si>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</si>
  <si>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</si>
  <si>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</si>
  <si>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</si>
  <si>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</si>
  <si>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</si>
  <si>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</si>
  <si>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</si>
  <si>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</si>
  <si>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</si>
  <si>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</si>
  <si>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</si>
  <si>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</si>
  <si>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</si>
  <si>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</si>
  <si>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</si>
  <si>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</si>
  <si>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</si>
  <si>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</si>
  <si>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</si>
  <si>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</si>
  <si>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</si>
  <si>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</si>
  <si>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</si>
  <si>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</si>
  <si>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</si>
  <si>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</si>
  <si>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</si>
  <si>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</si>
  <si>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</si>
  <si>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</si>
  <si>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</si>
  <si>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</si>
  <si>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</si>
  <si>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</si>
  <si>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</si>
  <si>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</si>
  <si>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</si>
  <si>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</si>
  <si>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</si>
  <si>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</si>
  <si>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</si>
  <si>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</si>
  <si>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</si>
  <si>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</si>
  <si>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</si>
  <si>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</si>
  <si>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</si>
  <si>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</si>
  <si>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</si>
  <si>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</si>
  <si>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</si>
  <si>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</si>
  <si>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</si>
  <si>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</si>
  <si>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</si>
  <si>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</si>
  <si>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</si>
  <si>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</si>
  <si>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</si>
  <si>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</si>
  <si>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</si>
  <si>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</si>
  <si>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</si>
  <si>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</si>
  <si>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</si>
  <si>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</si>
  <si>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</si>
  <si>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</si>
  <si>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</si>
  <si>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</si>
  <si>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</si>
  <si>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</si>
  <si>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</si>
  <si>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</si>
  <si>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</si>
  <si>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</si>
  <si>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</si>
  <si>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</si>
  <si>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</si>
  <si>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</si>
  <si>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</si>
  <si>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</si>
  <si>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</si>
  <si>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</si>
  <si>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</si>
  <si>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</si>
  <si>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</si>
  <si>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</si>
  <si>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</si>
  <si>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</si>
  <si>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</si>
  <si>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</si>
  <si>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</si>
  <si>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</si>
  <si>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</si>
  <si>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</si>
  <si>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</si>
  <si>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</si>
  <si>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</si>
  <si>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</si>
  <si>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</si>
  <si>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</si>
  <si>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</si>
  <si>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</si>
  <si>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</si>
  <si>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</si>
  <si>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</si>
  <si>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</si>
  <si>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</si>
  <si>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</si>
  <si>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</si>
  <si>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</si>
  <si>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</si>
  <si>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</si>
  <si>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</si>
  <si>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</si>
  <si>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</si>
  <si>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</si>
  <si>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</si>
  <si>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</si>
  <si>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</si>
  <si>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</si>
  <si>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</si>
  <si>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</si>
  <si>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</si>
  <si>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</si>
  <si>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</si>
  <si>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</si>
  <si>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</si>
  <si>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</si>
  <si>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</si>
  <si>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</si>
  <si>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</si>
  <si>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</si>
  <si>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</si>
  <si>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</si>
  <si>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</si>
  <si>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</si>
  <si>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</si>
  <si>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</si>
  <si>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</si>
  <si>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</si>
  <si>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</si>
  <si>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</si>
  <si>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</si>
  <si>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</si>
  <si>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</si>
  <si>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</si>
  <si>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</si>
  <si>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</si>
  <si>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</si>
  <si>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</si>
  <si>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</si>
  <si>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</si>
  <si>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</si>
  <si>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</si>
  <si>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</si>
  <si>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</si>
  <si>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</si>
  <si>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</si>
  <si>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</si>
  <si>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</si>
  <si>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</si>
  <si>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</si>
  <si>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</si>
  <si>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</si>
  <si>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</si>
  <si>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</si>
  <si>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</si>
  <si>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</si>
  <si>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</si>
  <si>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</si>
  <si>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</si>
  <si>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</si>
  <si>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</si>
  <si>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</si>
  <si>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</si>
  <si>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</si>
  <si>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</si>
  <si>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</si>
  <si>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</si>
  <si>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</si>
  <si>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</si>
  <si>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</si>
  <si>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</si>
  <si>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</si>
  <si>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</si>
  <si>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</si>
  <si>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</si>
  <si>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</si>
  <si>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</si>
  <si>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</si>
  <si>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</si>
  <si>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</si>
  <si>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</si>
  <si>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Afregningsmålere, elektroniske ≤ Ø 110mm (Qn 10)</t>
  </si>
  <si>
    <t>SRO anlæg</t>
  </si>
  <si>
    <t>Boring (inkl. etablering, forerør, filter og prøvepumpning)</t>
  </si>
  <si>
    <t>IT/ ledningsregistreringssystem QGIS</t>
  </si>
  <si>
    <t>Pumpestation (inkl. evt. hydrofor)/trykforøger, Konstruktioner</t>
  </si>
  <si>
    <t>Ventiler på Ø 50mm &lt; Ledningsnet ≤ Ø110 mm</t>
  </si>
  <si>
    <t>Ø 50mm &lt; Ledningsnet ≤ Ø110 mm</t>
  </si>
  <si>
    <t>Anlægsprojekter igangsat senest 1. marts 2016</t>
  </si>
  <si>
    <t>Udvidelse af forsyningsområdet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</si>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</sst>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192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56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22</v>
      </c>
      <c r="D14" s="66" t="s">
        <v>177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55</v>
      </c>
      <c r="D15" s="66" t="s">
        <v>133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57</v>
      </c>
      <c r="D16" s="66" t="s">
        <v>134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224</v>
      </c>
      <c r="D17" s="66" t="s">
        <v>66</v>
      </c>
      <c r="E17" s="67"/>
      <c r="F17" s="67"/>
      <c r="G17" s="68"/>
      <c r="H17" s="1"/>
      <c r="I17" s="1"/>
    </row>
    <row r="18" spans="1:9" x14ac:dyDescent="0.25">
      <c r="A18" s="1"/>
      <c r="B18" s="1"/>
      <c r="C18" s="34" t="s">
        <v>196</v>
      </c>
      <c r="D18" s="72" t="s">
        <v>162</v>
      </c>
      <c r="E18" s="73"/>
      <c r="F18" s="73"/>
      <c r="G18" s="74"/>
      <c r="H18" s="1"/>
      <c r="I18" s="1"/>
    </row>
    <row r="19" spans="1:9" x14ac:dyDescent="0.25">
      <c r="A19" s="1"/>
      <c r="B19" s="1"/>
      <c r="C19" s="34" t="s">
        <v>197</v>
      </c>
      <c r="D19" s="72" t="s">
        <v>163</v>
      </c>
      <c r="E19" s="73"/>
      <c r="F19" s="73"/>
      <c r="G19" s="74"/>
      <c r="H19" s="1"/>
      <c r="I19" s="1"/>
    </row>
    <row r="20" spans="1:9" x14ac:dyDescent="0.25">
      <c r="A20" s="1"/>
      <c r="B20" s="1"/>
      <c r="C20" s="34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198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54" t="s">
        <v>11</v>
      </c>
      <c r="E29" s="55"/>
      <c r="F29" s="55"/>
      <c r="G29" s="56"/>
      <c r="H29" s="1"/>
      <c r="I29" s="1"/>
    </row>
    <row r="30" spans="1:9" x14ac:dyDescent="0.25">
      <c r="A30" s="1"/>
      <c r="B30" s="1"/>
      <c r="C30" s="6" t="s">
        <v>62</v>
      </c>
      <c r="D30" s="60" t="s">
        <v>184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fgb+0XYvfSe5TGQkxOY52iFC0HAfQyCoHe11HkdUDsUq6F7BkcMkey9kXW0cRXmaPoXhODH92GtbbvBZaSCoQ==" saltValue="BVDG1SRyTEmPniwcerZQr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42" t="s">
        <v>48</v>
      </c>
      <c r="C9" s="11" t="s">
        <v>70</v>
      </c>
      <c r="D9" s="11"/>
      <c r="E9" s="1"/>
      <c r="F9" s="1"/>
    </row>
    <row r="10" spans="1:6" x14ac:dyDescent="0.25">
      <c r="A10" s="1"/>
      <c r="B10" s="51" t="s">
        <v>234</v>
      </c>
      <c r="C10" s="9">
        <v>5183410</v>
      </c>
      <c r="D10" s="14" t="s">
        <v>3</v>
      </c>
      <c r="E10" s="1"/>
      <c r="F10" s="1"/>
    </row>
    <row r="11" spans="1:6" x14ac:dyDescent="0.25">
      <c r="A11" s="1"/>
      <c r="B11" s="51" t="s">
        <v>235</v>
      </c>
      <c r="C11" s="9">
        <v>33677</v>
      </c>
      <c r="D11" s="14" t="s">
        <v>3</v>
      </c>
      <c r="E11" s="1"/>
      <c r="F11" s="1"/>
    </row>
    <row r="12" spans="1:6" x14ac:dyDescent="0.25">
      <c r="A12" s="1"/>
      <c r="B12" s="51" t="s">
        <v>236</v>
      </c>
      <c r="C12" s="9">
        <v>3824.73</v>
      </c>
      <c r="D12" s="14" t="s">
        <v>3</v>
      </c>
      <c r="E12" s="1"/>
      <c r="F12" s="1"/>
    </row>
    <row r="13" spans="1:6" x14ac:dyDescent="0.25">
      <c r="A13" s="1"/>
      <c r="B13" s="49" t="s">
        <v>71</v>
      </c>
      <c r="C13" s="12">
        <f>SUM(C10:C12)</f>
        <v>5220911.7300000004</v>
      </c>
      <c r="D13" s="13" t="s">
        <v>3</v>
      </c>
      <c r="E13" s="1"/>
      <c r="F13" s="1"/>
    </row>
    <row r="14" spans="1:6" x14ac:dyDescent="0.25">
      <c r="A14" s="1"/>
      <c r="B14" s="49" t="s">
        <v>72</v>
      </c>
      <c r="C14" s="12">
        <f>C13*(1+'Fane 14. Nøgletal'!C12)^2</f>
        <v>5428641.8357952964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n3rNk7/pmwmvJ8PgjDra4oxeDqr3uAd8TW95tbhdkca/6bm8XipUPT8Ud1zYQMKbpQfPajGCZeEmwr/CgOAqnA==" saltValue="XrQGMCe/i/NlT2+ULG9HZ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-957503.33166666667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1916690.5540243015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959187.2223576348</v>
      </c>
      <c r="F9" s="17" t="s">
        <v>3</v>
      </c>
      <c r="G9" s="1"/>
    </row>
    <row r="10" spans="1:7" ht="15" customHeight="1" x14ac:dyDescent="0.25">
      <c r="A10" s="1"/>
      <c r="B10" s="49"/>
      <c r="C10" s="50"/>
      <c r="D10" s="50"/>
      <c r="E10" s="50"/>
      <c r="F10" s="22"/>
      <c r="G10" s="1"/>
    </row>
    <row r="11" spans="1:7" ht="28.5" customHeight="1" x14ac:dyDescent="0.25">
      <c r="A11" s="1"/>
      <c r="B11" s="89" t="s">
        <v>188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13155085.278314717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12867177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287908.27831471711</v>
      </c>
      <c r="F18" s="17" t="s">
        <v>3</v>
      </c>
      <c r="G18" s="1"/>
    </row>
    <row r="19" spans="1:7" x14ac:dyDescent="0.25">
      <c r="A19" s="1"/>
      <c r="B19" s="49"/>
      <c r="C19" s="50"/>
      <c r="D19" s="50"/>
      <c r="E19" s="50"/>
      <c r="F19" s="22"/>
      <c r="G19" s="1"/>
    </row>
    <row r="20" spans="1:7" ht="30" customHeight="1" x14ac:dyDescent="0.25">
      <c r="A20" s="1"/>
      <c r="B20" s="89" t="s">
        <v>189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14421735.608495696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14790888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-369152.39150430448</v>
      </c>
      <c r="F27" s="17" t="s">
        <v>3</v>
      </c>
      <c r="G27" s="1"/>
    </row>
    <row r="28" spans="1:7" x14ac:dyDescent="0.25">
      <c r="A28" s="1"/>
      <c r="B28" s="49"/>
      <c r="C28" s="50"/>
      <c r="D28" s="50"/>
      <c r="E28" s="5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247</v>
      </c>
      <c r="C31" s="99"/>
      <c r="D31" s="99"/>
      <c r="E31" s="99"/>
      <c r="F31" s="100"/>
      <c r="G31" s="1"/>
    </row>
    <row r="32" spans="1:7" x14ac:dyDescent="0.25">
      <c r="A32" s="1"/>
      <c r="B32" s="109" t="s">
        <v>248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479593.6111788174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-81244.11318958737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-40622.056594793685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rNwbus3wAmCN+27y42SqPirdJjhNaOzc5fSQAgoApCRUxS+q0CWhoetnzJZz67DwsuTNQkpyZyK1ecaW0ii7w==" saltValue="MITIS1YFzKdVSYUWz4sEv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9" t="s">
        <v>175</v>
      </c>
      <c r="C10" s="50"/>
      <c r="D10" s="5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ILDrT2269otMiEjD2tauWhsS7/FJfoOvzONHu/v8bJQkJ8Fvrd+4DcKgjcqz7clED7GoVVQQFk19XyxqFJZhg==" saltValue="3uPFMx2K1TmbfD8zAlHda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4"/>
      <c r="I9" s="1"/>
    </row>
    <row r="10" spans="1:9" ht="39" x14ac:dyDescent="0.25">
      <c r="A10" s="1"/>
      <c r="B10" s="38" t="s">
        <v>237</v>
      </c>
      <c r="C10" s="39">
        <v>10</v>
      </c>
      <c r="D10" s="9">
        <v>1589699</v>
      </c>
      <c r="E10" s="9">
        <f>IFERROR(D10/C10,0)</f>
        <v>158969.9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38" t="s">
        <v>238</v>
      </c>
      <c r="C11" s="39">
        <v>10</v>
      </c>
      <c r="D11" s="9">
        <v>51610</v>
      </c>
      <c r="E11" s="9">
        <f t="shared" ref="E11:E14" si="0">IFERROR(D11/C11,0)</f>
        <v>5161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38" t="s">
        <v>239</v>
      </c>
      <c r="C12" s="39">
        <v>30</v>
      </c>
      <c r="D12" s="9">
        <v>409953</v>
      </c>
      <c r="E12" s="9">
        <f t="shared" si="0"/>
        <v>13665.1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38" t="s">
        <v>240</v>
      </c>
      <c r="C13" s="39">
        <v>5</v>
      </c>
      <c r="D13" s="9">
        <v>464537</v>
      </c>
      <c r="E13" s="9">
        <f t="shared" si="0"/>
        <v>92907.4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38" t="s">
        <v>241</v>
      </c>
      <c r="C14" s="39">
        <v>50</v>
      </c>
      <c r="D14" s="9">
        <v>804863</v>
      </c>
      <c r="E14" s="9">
        <f t="shared" si="0"/>
        <v>16097.26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38" t="s">
        <v>242</v>
      </c>
      <c r="C15" s="39">
        <v>75</v>
      </c>
      <c r="D15" s="9">
        <v>213154</v>
      </c>
      <c r="E15" s="9">
        <f t="shared" ref="E15:E16" si="1">IFERROR(D15/C15,0)</f>
        <v>2842.0533333333333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38" t="s">
        <v>243</v>
      </c>
      <c r="C16" s="39">
        <v>75</v>
      </c>
      <c r="D16" s="9">
        <v>1715749</v>
      </c>
      <c r="E16" s="9">
        <f t="shared" si="1"/>
        <v>22876.653333333332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98" t="s">
        <v>231</v>
      </c>
      <c r="C17" s="99"/>
      <c r="D17" s="100"/>
      <c r="E17" s="12">
        <f>SUM(E10:E16)</f>
        <v>312519.3666666667</v>
      </c>
      <c r="F17" s="12">
        <f>SUM(F10:F16)</f>
        <v>0</v>
      </c>
      <c r="G17" s="12">
        <f>SUM(G10:G16)</f>
        <v>0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m740ROhzS+WRHr76Cb81Tj57a6PPz7XMz8YeueEKFJIJSB26mkYOb8Iaph4zXxGg9ZpbqnIbUJDGpClSdRLDnA==" saltValue="EuGE0R7Q6asIeZJ27hHkD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137</v>
      </c>
      <c r="C8" s="50"/>
      <c r="D8" s="50"/>
      <c r="E8" s="50"/>
      <c r="F8" s="22"/>
      <c r="G8" s="1"/>
    </row>
    <row r="9" spans="1:7" ht="17.25" customHeight="1" x14ac:dyDescent="0.25">
      <c r="A9" s="1"/>
      <c r="B9" s="45" t="s">
        <v>24</v>
      </c>
      <c r="C9" s="45" t="s">
        <v>16</v>
      </c>
      <c r="D9" s="46"/>
      <c r="E9" s="45" t="s">
        <v>47</v>
      </c>
      <c r="F9" s="44"/>
      <c r="G9" s="1"/>
    </row>
    <row r="10" spans="1:7" x14ac:dyDescent="0.25">
      <c r="A10" s="1"/>
      <c r="B10" s="27" t="s">
        <v>244</v>
      </c>
      <c r="C10" s="24">
        <f>'Fane 9. Anlægsprojekter'!F17</f>
        <v>0</v>
      </c>
      <c r="D10" s="14" t="s">
        <v>3</v>
      </c>
      <c r="E10" s="9">
        <f>SUM('Fane 9. Anlægsprojekter'!E17,'Fane 9. Anlægsprojekter'!G17)</f>
        <v>312519.3666666667</v>
      </c>
      <c r="F10" s="14" t="s">
        <v>3</v>
      </c>
      <c r="G10" s="1"/>
    </row>
    <row r="11" spans="1:7" x14ac:dyDescent="0.25">
      <c r="A11" s="1"/>
      <c r="B11" s="40" t="s">
        <v>245</v>
      </c>
      <c r="C11" s="24">
        <v>0</v>
      </c>
      <c r="D11" s="14" t="s">
        <v>3</v>
      </c>
      <c r="E11" s="9">
        <v>23228</v>
      </c>
      <c r="F11" s="14" t="s">
        <v>3</v>
      </c>
      <c r="G11" s="1"/>
    </row>
    <row r="12" spans="1:7" x14ac:dyDescent="0.25">
      <c r="A12" s="1"/>
      <c r="B12" s="49" t="s">
        <v>63</v>
      </c>
      <c r="C12" s="12">
        <f>SUM(C10:C11)</f>
        <v>0</v>
      </c>
      <c r="D12" s="13" t="s">
        <v>3</v>
      </c>
      <c r="E12" s="12">
        <f>SUM(E10:E11)</f>
        <v>335747.3666666667</v>
      </c>
      <c r="F12" s="13" t="s">
        <v>3</v>
      </c>
      <c r="G12" s="1"/>
    </row>
    <row r="13" spans="1:7" x14ac:dyDescent="0.25">
      <c r="A13" s="1"/>
      <c r="B13" s="49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342361.58979000006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k34KEm4C0ltIcROiqhJy67gyPER+yC57fGvEKbTHE7XQTD6TwzdVHPLH+1+fZIbXGUyRjPtFtUybH1YehLRrXw==" saltValue="tDQ4rnZqiZC3YIma/6w42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5" t="s">
        <v>24</v>
      </c>
      <c r="C9" s="45" t="s">
        <v>16</v>
      </c>
      <c r="D9" s="46"/>
      <c r="E9" s="45" t="s">
        <v>47</v>
      </c>
      <c r="F9" s="44"/>
      <c r="G9" s="1"/>
    </row>
    <row r="10" spans="1:7" x14ac:dyDescent="0.25">
      <c r="A10" s="1"/>
      <c r="B10" s="27" t="s">
        <v>246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5" t="s">
        <v>24</v>
      </c>
      <c r="C17" s="45" t="s">
        <v>16</v>
      </c>
      <c r="D17" s="46"/>
      <c r="E17" s="45" t="s">
        <v>47</v>
      </c>
      <c r="F17" s="44"/>
      <c r="G17" s="1"/>
    </row>
    <row r="18" spans="1:7" x14ac:dyDescent="0.25">
      <c r="A18" s="1"/>
      <c r="B18" s="27" t="s">
        <v>246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5" t="s">
        <v>24</v>
      </c>
      <c r="C25" s="45" t="s">
        <v>16</v>
      </c>
      <c r="D25" s="46"/>
      <c r="E25" s="45" t="s">
        <v>47</v>
      </c>
      <c r="F25" s="44"/>
      <c r="G25" s="1"/>
    </row>
    <row r="26" spans="1:7" x14ac:dyDescent="0.25">
      <c r="A26" s="1"/>
      <c r="B26" s="27" t="s">
        <v>246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5" t="s">
        <v>24</v>
      </c>
      <c r="C33" s="45" t="s">
        <v>16</v>
      </c>
      <c r="D33" s="46"/>
      <c r="E33" s="45" t="s">
        <v>47</v>
      </c>
      <c r="F33" s="44"/>
      <c r="G33" s="1"/>
    </row>
    <row r="34" spans="1:7" x14ac:dyDescent="0.25">
      <c r="A34" s="1"/>
      <c r="B34" s="27" t="s">
        <v>246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xVa3wh0T6NqwesboG9qPDgMSHc5TualHf/Y7EagZWNW3mTBFj9YIcpfZ8pPrV+0Fr6qgrPdWwp6Y6/EAuCNRg==" saltValue="hRN2lWnllxm2IPNi6qkPu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208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3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XBEinCWtD8sBgsf90oZJh51PA46TCafWiN4Rvu2JaRBt/KDW3LTTorpxPwa6R+dCgPs+PzDnQfeuLYflk5gcQ==" saltValue="pcgV7vHP9I2tbzimkT3+/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209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3" t="s">
        <v>25</v>
      </c>
      <c r="C9" s="43" t="s">
        <v>16</v>
      </c>
      <c r="D9" s="44"/>
      <c r="E9" s="43" t="s">
        <v>47</v>
      </c>
      <c r="F9" s="44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3" t="s">
        <v>25</v>
      </c>
      <c r="C16" s="43" t="s">
        <v>16</v>
      </c>
      <c r="D16" s="44"/>
      <c r="E16" s="43" t="s">
        <v>47</v>
      </c>
      <c r="F16" s="44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3" t="s">
        <v>25</v>
      </c>
      <c r="C23" s="43" t="s">
        <v>16</v>
      </c>
      <c r="D23" s="44"/>
      <c r="E23" s="43" t="s">
        <v>47</v>
      </c>
      <c r="F23" s="44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3" t="s">
        <v>25</v>
      </c>
      <c r="C30" s="43" t="s">
        <v>16</v>
      </c>
      <c r="D30" s="44"/>
      <c r="E30" s="43" t="s">
        <v>47</v>
      </c>
      <c r="F30" s="44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wO9qiWyRiVmTezT2VSHQdtnwGFOsfKb3EP+aov3fC2D8ts4/EtRT6d7T3nwS4xwBKjTBjPm2QV6dIVBdgf/JA==" saltValue="ago4ueCD18O6bJGjnJ6gM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16769039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-15071410.378306881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1697628.6216931194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1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-1697628.6216931194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uWQj7dYVzU914t/+R6jwa+Z/SE5drHmpbm+86bQvq5rNEYTE2RUYwf95bKsDl5GWpd9hfb9HnOlGWlsZ6DQNw==" saltValue="jpoF7onREuBGOVdRHZYkV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54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9" t="s">
        <v>21</v>
      </c>
      <c r="C8" s="22"/>
      <c r="D8" s="1"/>
    </row>
    <row r="9" spans="1:4" x14ac:dyDescent="0.25">
      <c r="A9" s="1"/>
      <c r="B9" s="51" t="s">
        <v>211</v>
      </c>
      <c r="C9" s="28">
        <v>1.2699999999999999E-2</v>
      </c>
      <c r="D9" s="1"/>
    </row>
    <row r="10" spans="1:4" x14ac:dyDescent="0.25">
      <c r="A10" s="1"/>
      <c r="B10" s="51" t="s">
        <v>30</v>
      </c>
      <c r="C10" s="28">
        <v>1.7500000000000002E-2</v>
      </c>
      <c r="D10" s="1"/>
    </row>
    <row r="11" spans="1:4" x14ac:dyDescent="0.25">
      <c r="A11" s="1"/>
      <c r="B11" s="51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9" t="s">
        <v>181</v>
      </c>
      <c r="C16" s="22"/>
      <c r="D16" s="1"/>
    </row>
    <row r="17" spans="1:4" x14ac:dyDescent="0.25">
      <c r="A17" s="1"/>
      <c r="B17" s="51" t="s">
        <v>213</v>
      </c>
      <c r="C17" s="25">
        <v>9.1000000000000004E-3</v>
      </c>
      <c r="D17" s="1"/>
    </row>
    <row r="18" spans="1:4" x14ac:dyDescent="0.25">
      <c r="A18" s="1"/>
      <c r="B18" s="51" t="s">
        <v>214</v>
      </c>
      <c r="C18" s="25">
        <v>1.77E-2</v>
      </c>
      <c r="D18" s="1"/>
    </row>
    <row r="19" spans="1:4" x14ac:dyDescent="0.25">
      <c r="A19" s="1"/>
      <c r="B19" s="51" t="s">
        <v>215</v>
      </c>
      <c r="C19" s="25">
        <v>8.6999999999999994E-3</v>
      </c>
      <c r="D19" s="1"/>
    </row>
    <row r="20" spans="1:4" x14ac:dyDescent="0.25">
      <c r="A20" s="1"/>
      <c r="B20" s="51" t="s">
        <v>216</v>
      </c>
      <c r="C20" s="37">
        <v>2.8400000000000002E-2</v>
      </c>
      <c r="D20" s="1"/>
    </row>
    <row r="21" spans="1:4" x14ac:dyDescent="0.25">
      <c r="A21" s="1"/>
      <c r="B21" s="4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9" t="s">
        <v>182</v>
      </c>
      <c r="C24" s="22"/>
      <c r="D24" s="1"/>
    </row>
    <row r="25" spans="1:4" x14ac:dyDescent="0.25">
      <c r="A25" s="1"/>
      <c r="B25" s="51" t="s">
        <v>217</v>
      </c>
      <c r="C25" s="28">
        <v>0.02</v>
      </c>
      <c r="D25" s="1"/>
    </row>
    <row r="26" spans="1:4" x14ac:dyDescent="0.25">
      <c r="A26" s="1"/>
      <c r="B26" s="4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6fI5hRyRC23S1+FbL1y3Wekh1BUQDR3tgHNytbw896ibq5nZAyMITpXy4lqMjc0wGKBTuhF1sjA5ysHTeaAjdQ==" saltValue="g5lIjgA2lBZJZNMHRIOot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9" t="s">
        <v>20</v>
      </c>
      <c r="C8" s="50"/>
      <c r="D8" s="22"/>
      <c r="E8" s="1"/>
    </row>
    <row r="9" spans="1:5" x14ac:dyDescent="0.25">
      <c r="A9" s="1"/>
      <c r="B9" s="48" t="s">
        <v>34</v>
      </c>
      <c r="C9" s="7">
        <f>'Fane 3. Omkostninger i ØR2019'!E22</f>
        <v>10879241.658201521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342361.58979000006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190603.7073424687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-149388.12212566318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-100406.78270944694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-64507.446419948668</v>
      </c>
      <c r="D19" s="8" t="s">
        <v>3</v>
      </c>
      <c r="E19" s="1"/>
    </row>
    <row r="20" spans="1:5" ht="17.100000000000001" customHeight="1" x14ac:dyDescent="0.25">
      <c r="A20" s="1"/>
      <c r="B20" s="53" t="s">
        <v>28</v>
      </c>
      <c r="C20" s="10">
        <f>SUM(C9:C19)</f>
        <v>11097904.60407893</v>
      </c>
      <c r="D20" s="11" t="s">
        <v>3</v>
      </c>
      <c r="E20" s="1"/>
    </row>
    <row r="21" spans="1:5" ht="15" customHeight="1" x14ac:dyDescent="0.25">
      <c r="A21" s="1"/>
      <c r="B21" s="49" t="s">
        <v>17</v>
      </c>
      <c r="C21" s="50"/>
      <c r="D21" s="22"/>
      <c r="E21" s="1"/>
    </row>
    <row r="22" spans="1:5" ht="15" customHeight="1" x14ac:dyDescent="0.25">
      <c r="A22" s="1"/>
      <c r="B22" s="43" t="s">
        <v>17</v>
      </c>
      <c r="C22" s="10">
        <f>'Fane 6. Ikke-påvirkelige omk.'!C14</f>
        <v>5428641.8357952964</v>
      </c>
      <c r="D22" s="11" t="s">
        <v>3</v>
      </c>
      <c r="E22" s="1"/>
    </row>
    <row r="23" spans="1:5" ht="15" customHeight="1" x14ac:dyDescent="0.25">
      <c r="A23" s="1"/>
      <c r="B23" s="49" t="s">
        <v>142</v>
      </c>
      <c r="C23" s="5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3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9" t="s">
        <v>11</v>
      </c>
      <c r="C27" s="50"/>
      <c r="D27" s="22"/>
      <c r="E27" s="1"/>
    </row>
    <row r="28" spans="1:5" ht="15" customHeight="1" x14ac:dyDescent="0.25">
      <c r="A28" s="1"/>
      <c r="B28" s="43" t="s">
        <v>19</v>
      </c>
      <c r="C28" s="10">
        <f>'Fane 13. Hist. over-underdæk.'!G14</f>
        <v>-1697628.6216931194</v>
      </c>
      <c r="D28" s="11" t="s">
        <v>3</v>
      </c>
      <c r="E28" s="1"/>
    </row>
    <row r="29" spans="1:5" ht="15" customHeight="1" x14ac:dyDescent="0.25">
      <c r="A29" s="1"/>
      <c r="B29" s="49" t="s">
        <v>53</v>
      </c>
      <c r="C29" s="50"/>
      <c r="D29" s="22"/>
      <c r="E29" s="1"/>
    </row>
    <row r="30" spans="1:5" x14ac:dyDescent="0.25">
      <c r="A30" s="1"/>
      <c r="B30" s="43" t="s">
        <v>218</v>
      </c>
      <c r="C30" s="10">
        <f>'Fane 7. Kontrol af ØR2018'!E32</f>
        <v>479593.6111788174</v>
      </c>
      <c r="D30" s="11" t="s">
        <v>3</v>
      </c>
      <c r="E30" s="1"/>
    </row>
    <row r="31" spans="1:5" x14ac:dyDescent="0.25">
      <c r="A31" s="1"/>
      <c r="B31" s="49" t="s">
        <v>225</v>
      </c>
      <c r="C31" s="50"/>
      <c r="D31" s="22"/>
      <c r="E31" s="1"/>
    </row>
    <row r="32" spans="1:5" x14ac:dyDescent="0.25">
      <c r="A32" s="1"/>
      <c r="B32" s="43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9" t="s">
        <v>35</v>
      </c>
      <c r="C33" s="33">
        <f>SUM(C20,C22,C26,C28,C30,C32)</f>
        <v>15308511.429359924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fvZUarpgwPdrTgNA1es34MekDqTOc9WUz7CCJIbHcRGCyL52PGMTUoyR9PM0N58L3EQuS4XAJEznHpTfWjRvw==" saltValue="PadY3jvKPDLPMzU8gDIRm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9" t="s">
        <v>20</v>
      </c>
      <c r="C8" s="50"/>
      <c r="D8" s="22"/>
      <c r="E8" s="1"/>
    </row>
    <row r="9" spans="1:5" ht="15" customHeight="1" x14ac:dyDescent="0.25">
      <c r="A9" s="1"/>
      <c r="B9" s="48" t="s">
        <v>36</v>
      </c>
      <c r="C9" s="7">
        <f>'Fane 2.1. Økonomisk ramme 2020'!C20</f>
        <v>11097904.60407893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41" t="s">
        <v>26</v>
      </c>
      <c r="C12" s="9">
        <f>SUM(C9:C11)*'Fane 14. Nøgletal'!C12</f>
        <v>218628.7207003549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-148135.73474244706</v>
      </c>
      <c r="D13" s="8" t="s">
        <v>3</v>
      </c>
      <c r="E13" s="1"/>
    </row>
    <row r="14" spans="1:5" ht="15" customHeight="1" x14ac:dyDescent="0.25">
      <c r="A14" s="1"/>
      <c r="B14" s="41" t="s">
        <v>38</v>
      </c>
      <c r="C14" s="9">
        <f>-'Fane 4.1. Gen. krav - drift'!G32</f>
        <v>-100337.10040224661</v>
      </c>
      <c r="D14" s="8" t="s">
        <v>3</v>
      </c>
      <c r="E14" s="1"/>
    </row>
    <row r="15" spans="1:5" ht="15" customHeight="1" x14ac:dyDescent="0.25">
      <c r="A15" s="1"/>
      <c r="B15" s="41" t="s">
        <v>39</v>
      </c>
      <c r="C15" s="9">
        <f>-'Fane 4.2. Gen. krav - anlæg'!G31</f>
        <v>-189963.67420481876</v>
      </c>
      <c r="D15" s="8" t="s">
        <v>3</v>
      </c>
      <c r="E15" s="1"/>
    </row>
    <row r="16" spans="1:5" ht="15" customHeight="1" x14ac:dyDescent="0.25">
      <c r="A16" s="1"/>
      <c r="B16" s="42" t="s">
        <v>28</v>
      </c>
      <c r="C16" s="10">
        <f>SUM(C9:C15)</f>
        <v>10878096.815429771</v>
      </c>
      <c r="D16" s="11" t="s">
        <v>3</v>
      </c>
      <c r="E16" s="1"/>
    </row>
    <row r="17" spans="1:5" x14ac:dyDescent="0.25">
      <c r="A17" s="1"/>
      <c r="B17" s="49" t="s">
        <v>17</v>
      </c>
      <c r="C17" s="50"/>
      <c r="D17" s="22"/>
      <c r="E17" s="1"/>
    </row>
    <row r="18" spans="1:5" ht="15" customHeight="1" x14ac:dyDescent="0.25">
      <c r="A18" s="1"/>
      <c r="B18" s="43" t="s">
        <v>17</v>
      </c>
      <c r="C18" s="10">
        <f>'Fane 6. Ikke-påvirkelige omk.'!C14*(1+'Fane 14. Nøgletal'!C12)</f>
        <v>5535586.0799604636</v>
      </c>
      <c r="D18" s="11" t="s">
        <v>3</v>
      </c>
      <c r="E18" s="1"/>
    </row>
    <row r="19" spans="1:5" ht="15" customHeight="1" x14ac:dyDescent="0.25">
      <c r="A19" s="1"/>
      <c r="B19" s="49" t="s">
        <v>142</v>
      </c>
      <c r="C19" s="5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9" t="s">
        <v>160</v>
      </c>
      <c r="C23" s="50"/>
      <c r="D23" s="22"/>
      <c r="E23" s="1"/>
    </row>
    <row r="24" spans="1:5" ht="15" customHeight="1" x14ac:dyDescent="0.25">
      <c r="A24" s="1"/>
      <c r="B24" s="43" t="s">
        <v>195</v>
      </c>
      <c r="C24" s="10">
        <f>'Fane 7. Kontrol af ØR2018'!E39</f>
        <v>-40622.056594793685</v>
      </c>
      <c r="D24" s="11" t="s">
        <v>3</v>
      </c>
      <c r="E24" s="1"/>
    </row>
    <row r="25" spans="1:5" x14ac:dyDescent="0.25">
      <c r="A25" s="1"/>
      <c r="B25" s="49" t="s">
        <v>44</v>
      </c>
      <c r="C25" s="12">
        <f>SUM(C16,C18,C22,C24)</f>
        <v>16373060.838795442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KnqpLAYWTGCJM97UVVEp5PbE6VI4/xB7U4J538tpqUH1wwLo5QU3RP7RohHMKwi9wKk1yTo3AUjWf+fXbuHwA==" saltValue="/RRtvuneBVc8NmVvXzRo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9" t="s">
        <v>20</v>
      </c>
      <c r="C7" s="50"/>
      <c r="D7" s="22"/>
      <c r="E7" s="1"/>
    </row>
    <row r="8" spans="1:5" ht="15" customHeight="1" x14ac:dyDescent="0.25">
      <c r="A8" s="1"/>
      <c r="B8" s="48" t="s">
        <v>36</v>
      </c>
      <c r="C8" s="7">
        <f>'Fane 2.2. Økonomisk ramme 2021'!C16</f>
        <v>10878096.815429771</v>
      </c>
      <c r="D8" s="8" t="s">
        <v>3</v>
      </c>
      <c r="E8" s="1"/>
    </row>
    <row r="9" spans="1:5" ht="15" customHeight="1" x14ac:dyDescent="0.25">
      <c r="A9" s="1"/>
      <c r="B9" s="48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41" t="s">
        <v>26</v>
      </c>
      <c r="C11" s="9">
        <f>SUM(C8:C10)*'Fane 14. Nøgletal'!C12</f>
        <v>214298.50726396649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-145201.72247298781</v>
      </c>
      <c r="D12" s="8" t="s">
        <v>3</v>
      </c>
      <c r="E12" s="1"/>
    </row>
    <row r="13" spans="1:5" ht="15" customHeight="1" x14ac:dyDescent="0.25">
      <c r="A13" s="1"/>
      <c r="B13" s="41" t="s">
        <v>38</v>
      </c>
      <c r="C13" s="9">
        <f>-'Fane 4.1. Gen. krav - drift'!G38</f>
        <v>-100267.46645456746</v>
      </c>
      <c r="D13" s="8" t="s">
        <v>3</v>
      </c>
      <c r="E13" s="1"/>
    </row>
    <row r="14" spans="1:5" ht="15" customHeight="1" x14ac:dyDescent="0.25">
      <c r="A14" s="1"/>
      <c r="B14" s="41" t="s">
        <v>39</v>
      </c>
      <c r="C14" s="9">
        <f>-'Fane 4.2. Gen. krav - anlæg'!G37</f>
        <v>-188204.70936279272</v>
      </c>
      <c r="D14" s="8" t="s">
        <v>3</v>
      </c>
      <c r="E14" s="1"/>
    </row>
    <row r="15" spans="1:5" x14ac:dyDescent="0.25">
      <c r="A15" s="1"/>
      <c r="B15" s="42" t="s">
        <v>28</v>
      </c>
      <c r="C15" s="10">
        <f>SUM(C8:C14)</f>
        <v>10658721.42440339</v>
      </c>
      <c r="D15" s="11" t="s">
        <v>3</v>
      </c>
      <c r="E15" s="1"/>
    </row>
    <row r="16" spans="1:5" x14ac:dyDescent="0.25">
      <c r="A16" s="1"/>
      <c r="B16" s="49" t="s">
        <v>17</v>
      </c>
      <c r="C16" s="50"/>
      <c r="D16" s="22"/>
      <c r="E16" s="1"/>
    </row>
    <row r="17" spans="1:5" ht="15" customHeight="1" x14ac:dyDescent="0.25">
      <c r="A17" s="1"/>
      <c r="B17" s="43" t="s">
        <v>17</v>
      </c>
      <c r="C17" s="10">
        <f>'Fane 6. Ikke-påvirkelige omk.'!C14*(1+'Fane 14. Nøgletal'!C12)^2</f>
        <v>5644637.1257356852</v>
      </c>
      <c r="D17" s="11" t="s">
        <v>3</v>
      </c>
      <c r="E17" s="1"/>
    </row>
    <row r="18" spans="1:5" ht="15" customHeight="1" x14ac:dyDescent="0.25">
      <c r="A18" s="1"/>
      <c r="B18" s="49" t="s">
        <v>142</v>
      </c>
      <c r="C18" s="5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9" t="s">
        <v>160</v>
      </c>
      <c r="C22" s="50"/>
      <c r="D22" s="22"/>
      <c r="E22" s="1"/>
    </row>
    <row r="23" spans="1:5" ht="15" customHeight="1" x14ac:dyDescent="0.25">
      <c r="A23" s="1"/>
      <c r="B23" s="43" t="s">
        <v>195</v>
      </c>
      <c r="C23" s="10">
        <f>'Fane 2.2. Økonomisk ramme 2021'!C24</f>
        <v>-40622.056594793685</v>
      </c>
      <c r="D23" s="11" t="s">
        <v>3</v>
      </c>
      <c r="E23" s="1"/>
    </row>
    <row r="24" spans="1:5" x14ac:dyDescent="0.25">
      <c r="A24" s="1"/>
      <c r="B24" s="49" t="s">
        <v>45</v>
      </c>
      <c r="C24" s="12">
        <f>SUM(C15,C17,C21,C23)</f>
        <v>16262736.493544281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TthcTbNVxHf/D4eXVAOKKub3davNGVSO8j4hEDLj/sAf3C2w40WdBQDxnL0znY2KnrG7BssFafBURXQ81AJgA==" saltValue="9CvMN2lRVY+SpZz1VHp0Q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9" t="s">
        <v>20</v>
      </c>
      <c r="C7" s="50"/>
      <c r="D7" s="22"/>
      <c r="E7" s="1"/>
    </row>
    <row r="8" spans="1:5" ht="15" customHeight="1" x14ac:dyDescent="0.25">
      <c r="A8" s="1"/>
      <c r="B8" s="48" t="s">
        <v>37</v>
      </c>
      <c r="C8" s="7">
        <f>'Fane 2.3. Økonomisk ramme 2022'!C15</f>
        <v>10658721.42440339</v>
      </c>
      <c r="D8" s="8" t="s">
        <v>3</v>
      </c>
      <c r="E8" s="1"/>
    </row>
    <row r="9" spans="1:5" ht="15" customHeight="1" x14ac:dyDescent="0.25">
      <c r="A9" s="1"/>
      <c r="B9" s="48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41" t="s">
        <v>26</v>
      </c>
      <c r="C11" s="9">
        <f>C8*'Fane 14. Nøgletal'!C12</f>
        <v>209976.81206074677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-142273.48188222258</v>
      </c>
      <c r="D12" s="8" t="s">
        <v>3</v>
      </c>
      <c r="E12" s="1"/>
    </row>
    <row r="13" spans="1:5" ht="15" customHeight="1" x14ac:dyDescent="0.25">
      <c r="A13" s="1"/>
      <c r="B13" s="41" t="s">
        <v>38</v>
      </c>
      <c r="C13" s="9">
        <f>-'Fane 4.1. Gen. krav - drift'!G44</f>
        <v>-100197.88083284799</v>
      </c>
      <c r="D13" s="8" t="s">
        <v>3</v>
      </c>
      <c r="E13" s="1"/>
    </row>
    <row r="14" spans="1:5" ht="15" customHeight="1" x14ac:dyDescent="0.25">
      <c r="A14" s="1"/>
      <c r="B14" s="41" t="s">
        <v>39</v>
      </c>
      <c r="C14" s="9">
        <f>-'Fane 4.2. Gen. krav - anlæg'!G43</f>
        <v>-186462.03162054214</v>
      </c>
      <c r="D14" s="8" t="s">
        <v>3</v>
      </c>
      <c r="E14" s="1"/>
    </row>
    <row r="15" spans="1:5" x14ac:dyDescent="0.25">
      <c r="A15" s="1"/>
      <c r="B15" s="42" t="s">
        <v>28</v>
      </c>
      <c r="C15" s="10">
        <f>SUM(C8:C14)</f>
        <v>10439764.842128526</v>
      </c>
      <c r="D15" s="11" t="s">
        <v>3</v>
      </c>
      <c r="E15" s="1"/>
    </row>
    <row r="16" spans="1:5" x14ac:dyDescent="0.25">
      <c r="A16" s="1"/>
      <c r="B16" s="49" t="s">
        <v>17</v>
      </c>
      <c r="C16" s="50"/>
      <c r="D16" s="22"/>
      <c r="E16" s="1"/>
    </row>
    <row r="17" spans="1:5" ht="15" customHeight="1" x14ac:dyDescent="0.25">
      <c r="A17" s="1"/>
      <c r="B17" s="43" t="s">
        <v>17</v>
      </c>
      <c r="C17" s="10">
        <f>'Fane 6. Ikke-påvirkelige omk.'!C14*(1+'Fane 14. Nøgletal'!C12)^3</f>
        <v>5755836.4771126779</v>
      </c>
      <c r="D17" s="11" t="s">
        <v>3</v>
      </c>
      <c r="E17" s="1"/>
    </row>
    <row r="18" spans="1:5" ht="15" customHeight="1" x14ac:dyDescent="0.25">
      <c r="A18" s="1"/>
      <c r="B18" s="49" t="s">
        <v>142</v>
      </c>
      <c r="C18" s="5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9" t="s">
        <v>154</v>
      </c>
      <c r="C22" s="12">
        <f>SUM(C15,C17,C21)</f>
        <v>16195601.319241203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WO3Qk0dEnkq1foucTZIRnQQ+QfO/7aJZbO2JcgTfy3Z4+GsqcRxlHyZu4ZjrOmDbJzGdqBeoNAXZSLU5fF9fA==" saltValue="XS7Qd2RyuwZigHwXTpMG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221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9" t="s">
        <v>84</v>
      </c>
      <c r="C8" s="50"/>
      <c r="D8" s="50"/>
      <c r="E8" s="50"/>
      <c r="F8" s="22"/>
      <c r="G8" s="1"/>
    </row>
    <row r="9" spans="1:7" x14ac:dyDescent="0.25">
      <c r="A9" s="1"/>
      <c r="B9" s="86" t="s">
        <v>81</v>
      </c>
      <c r="C9" s="87"/>
      <c r="D9" s="88"/>
      <c r="E9" s="7">
        <v>11028315.912604395</v>
      </c>
      <c r="F9" s="8" t="s">
        <v>3</v>
      </c>
      <c r="G9" s="1"/>
    </row>
    <row r="10" spans="1:7" x14ac:dyDescent="0.25">
      <c r="A10" s="1"/>
      <c r="B10" s="86" t="s">
        <v>82</v>
      </c>
      <c r="C10" s="87"/>
      <c r="D10" s="88"/>
      <c r="E10" s="7">
        <v>-302863.58697190054</v>
      </c>
      <c r="F10" s="8" t="s">
        <v>3</v>
      </c>
      <c r="G10" s="1"/>
    </row>
    <row r="11" spans="1:7" x14ac:dyDescent="0.25">
      <c r="A11" s="1"/>
      <c r="B11" s="86" t="s">
        <v>83</v>
      </c>
      <c r="C11" s="87"/>
      <c r="D11" s="88"/>
      <c r="E11" s="7">
        <v>58474.153377899296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210769.81229999999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185810.36732314565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-146355.11787368008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-100753.17211517892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-54156.710443159522</v>
      </c>
      <c r="F21" s="8" t="s">
        <v>3</v>
      </c>
      <c r="G21" s="1"/>
    </row>
    <row r="22" spans="1:7" x14ac:dyDescent="0.25">
      <c r="A22" s="1"/>
      <c r="B22" s="92" t="s">
        <v>28</v>
      </c>
      <c r="C22" s="93"/>
      <c r="D22" s="94"/>
      <c r="E22" s="10">
        <f>SUM(E9:E21)</f>
        <v>10879241.658201521</v>
      </c>
      <c r="F22" s="11" t="s">
        <v>3</v>
      </c>
      <c r="G22" s="1"/>
    </row>
    <row r="23" spans="1:7" x14ac:dyDescent="0.25">
      <c r="A23" s="1"/>
      <c r="B23" s="80" t="s">
        <v>17</v>
      </c>
      <c r="C23" s="81"/>
      <c r="D23" s="81"/>
      <c r="E23" s="50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5109233.965857029</v>
      </c>
      <c r="F24" s="11" t="s">
        <v>3</v>
      </c>
      <c r="G24" s="1"/>
    </row>
    <row r="25" spans="1:7" x14ac:dyDescent="0.25">
      <c r="A25" s="1"/>
      <c r="B25" s="49" t="s">
        <v>130</v>
      </c>
      <c r="C25" s="50"/>
      <c r="D25" s="50"/>
      <c r="E25" s="50"/>
      <c r="F25" s="22"/>
      <c r="G25" s="1"/>
    </row>
    <row r="26" spans="1:7" ht="27" customHeight="1" x14ac:dyDescent="0.25">
      <c r="A26" s="1"/>
      <c r="B26" s="95" t="s">
        <v>132</v>
      </c>
      <c r="C26" s="96"/>
      <c r="D26" s="97"/>
      <c r="E26" s="10">
        <v>25931.441689059262</v>
      </c>
      <c r="F26" s="11" t="s">
        <v>3</v>
      </c>
      <c r="G26" s="1"/>
    </row>
    <row r="27" spans="1:7" x14ac:dyDescent="0.25">
      <c r="A27" s="1"/>
      <c r="B27" s="49" t="s">
        <v>11</v>
      </c>
      <c r="C27" s="50"/>
      <c r="D27" s="50"/>
      <c r="E27" s="50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-1697628</v>
      </c>
      <c r="F28" s="11" t="s">
        <v>3</v>
      </c>
      <c r="G28" s="1"/>
    </row>
    <row r="29" spans="1:7" x14ac:dyDescent="0.25">
      <c r="A29" s="1"/>
      <c r="B29" s="49" t="s">
        <v>160</v>
      </c>
      <c r="C29" s="50"/>
      <c r="D29" s="50"/>
      <c r="E29" s="50"/>
      <c r="F29" s="22"/>
      <c r="G29" s="1"/>
    </row>
    <row r="30" spans="1:7" x14ac:dyDescent="0.25">
      <c r="A30" s="1"/>
      <c r="B30" s="82" t="s">
        <v>131</v>
      </c>
      <c r="C30" s="83"/>
      <c r="D30" s="84"/>
      <c r="E30" s="10">
        <v>504619.81687738927</v>
      </c>
      <c r="F30" s="11" t="s">
        <v>3</v>
      </c>
      <c r="G30" s="1"/>
    </row>
    <row r="31" spans="1:7" x14ac:dyDescent="0.25">
      <c r="A31" s="1"/>
      <c r="B31" s="49" t="s">
        <v>23</v>
      </c>
      <c r="C31" s="50"/>
      <c r="D31" s="50"/>
      <c r="E31" s="12">
        <f>SUM(E28,E26,E24,E22,E30)</f>
        <v>14821398.882624999</v>
      </c>
      <c r="F31" s="13" t="s">
        <v>3</v>
      </c>
      <c r="G31" s="1"/>
    </row>
    <row r="32" spans="1:7" ht="28.15" customHeight="1" x14ac:dyDescent="0.25">
      <c r="A32" s="1"/>
      <c r="B32" s="89" t="s">
        <v>189</v>
      </c>
      <c r="C32" s="90"/>
      <c r="D32" s="90"/>
      <c r="E32" s="90"/>
      <c r="F32" s="9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FuM0KwZFFbrNAIo176ktaHqwibVOfXgcvZIATQrc4zliMn+5B73HzRpQ2KS9Oa1SDuBWcjTc/PhZRxr2Zrxfg==" saltValue="mhcBS0W5F/gz85tgCeuWx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5404911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108098.22</v>
      </c>
      <c r="H7" s="14" t="s">
        <v>3</v>
      </c>
      <c r="I7" s="1"/>
    </row>
    <row r="8" spans="1:9" x14ac:dyDescent="0.25">
      <c r="A8" s="1"/>
      <c r="B8" s="49"/>
      <c r="C8" s="50"/>
      <c r="D8" s="50"/>
      <c r="E8" s="50"/>
      <c r="F8" s="50"/>
      <c r="G8" s="5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5364082.3023060001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107281.64604612</v>
      </c>
      <c r="H13" s="14" t="s">
        <v>3</v>
      </c>
      <c r="I13" s="1"/>
    </row>
    <row r="14" spans="1:9" x14ac:dyDescent="0.25">
      <c r="A14" s="1"/>
      <c r="B14" s="49"/>
      <c r="C14" s="50"/>
      <c r="D14" s="50"/>
      <c r="E14" s="50"/>
      <c r="F14" s="50"/>
      <c r="G14" s="5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5345640.5873506721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-307981.98159172566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100753.17211517892</v>
      </c>
      <c r="H20" s="14" t="s">
        <v>3</v>
      </c>
      <c r="I20" s="1"/>
    </row>
    <row r="21" spans="1:9" x14ac:dyDescent="0.25">
      <c r="A21" s="1"/>
      <c r="B21" s="49"/>
      <c r="C21" s="50"/>
      <c r="D21" s="50"/>
      <c r="E21" s="50"/>
      <c r="F21" s="50"/>
      <c r="G21" s="5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5020339.135472347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100406.78270944694</v>
      </c>
      <c r="H26" s="14" t="s">
        <v>3</v>
      </c>
      <c r="I26" s="1"/>
    </row>
    <row r="27" spans="1:9" x14ac:dyDescent="0.25">
      <c r="A27" s="1"/>
      <c r="B27" s="49"/>
      <c r="C27" s="50"/>
      <c r="D27" s="50"/>
      <c r="E27" s="50"/>
      <c r="F27" s="50"/>
      <c r="G27" s="5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5016855.0201123301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100337.10040224661</v>
      </c>
      <c r="H32" s="14" t="s">
        <v>3</v>
      </c>
      <c r="I32" s="1"/>
    </row>
    <row r="33" spans="1:9" x14ac:dyDescent="0.25">
      <c r="A33" s="1"/>
      <c r="B33" s="49"/>
      <c r="C33" s="50"/>
      <c r="D33" s="50"/>
      <c r="E33" s="50"/>
      <c r="F33" s="50"/>
      <c r="G33" s="5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5013373.3227283731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100267.46645456746</v>
      </c>
      <c r="H38" s="14" t="s">
        <v>3</v>
      </c>
      <c r="I38" s="1"/>
    </row>
    <row r="39" spans="1:9" x14ac:dyDescent="0.25">
      <c r="A39" s="1"/>
      <c r="B39" s="49"/>
      <c r="C39" s="50"/>
      <c r="D39" s="50"/>
      <c r="E39" s="50"/>
      <c r="F39" s="50"/>
      <c r="G39" s="5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5009894.0416423995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100197.88083284799</v>
      </c>
      <c r="H44" s="14" t="s">
        <v>3</v>
      </c>
      <c r="I44" s="1"/>
    </row>
    <row r="45" spans="1:9" x14ac:dyDescent="0.25">
      <c r="A45" s="1"/>
      <c r="B45" s="49"/>
      <c r="C45" s="50"/>
      <c r="D45" s="50"/>
      <c r="E45" s="50"/>
      <c r="F45" s="50"/>
      <c r="G45" s="5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z01+mLFE+ZFyzcc3nf2ThzmOyuxtCNvnB0r20m/hM6lPe0qF6agvgU64+dNHdxaEWw7LhYLdDzHJFy1mfpnAA==" saltValue="y98FWrP1w5NDQhr4rMnToQ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52"/>
      <c r="C3" s="52"/>
      <c r="D3" s="52"/>
      <c r="E3" s="52"/>
      <c r="F3" s="52"/>
      <c r="G3" s="52"/>
      <c r="H3" s="52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5885449.4345811922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53557.589854688849</v>
      </c>
      <c r="H6" s="14" t="s">
        <v>3</v>
      </c>
      <c r="I6" s="1"/>
    </row>
    <row r="7" spans="1:9" x14ac:dyDescent="0.25">
      <c r="A7" s="1"/>
      <c r="B7" s="49"/>
      <c r="C7" s="50"/>
      <c r="D7" s="50"/>
      <c r="E7" s="50"/>
      <c r="F7" s="50"/>
      <c r="G7" s="5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5905956.871154529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53744.207527506216</v>
      </c>
      <c r="H12" s="14" t="s">
        <v>3</v>
      </c>
      <c r="I12" s="1"/>
    </row>
    <row r="13" spans="1:9" x14ac:dyDescent="0.25">
      <c r="A13" s="1"/>
      <c r="B13" s="49"/>
      <c r="C13" s="50"/>
      <c r="D13" s="50"/>
      <c r="E13" s="50"/>
      <c r="F13" s="50"/>
      <c r="G13" s="5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5951115.0576423192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59462.366569985788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214331.82212786996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54156.710443159522</v>
      </c>
      <c r="H19" s="14" t="s">
        <v>3</v>
      </c>
      <c r="I19" s="1"/>
    </row>
    <row r="20" spans="1:9" x14ac:dyDescent="0.25">
      <c r="A20" s="1"/>
      <c r="B20" s="49"/>
      <c r="C20" s="50"/>
      <c r="D20" s="50"/>
      <c r="E20" s="50"/>
      <c r="F20" s="50"/>
      <c r="G20" s="5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6275038.2537536742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349106.11310886306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64507.446419948668</v>
      </c>
      <c r="H25" s="14" t="s">
        <v>3</v>
      </c>
      <c r="I25" s="1"/>
    </row>
    <row r="26" spans="1:9" x14ac:dyDescent="0.25">
      <c r="A26" s="1"/>
      <c r="B26" s="49"/>
      <c r="C26" s="50"/>
      <c r="D26" s="50"/>
      <c r="E26" s="50"/>
      <c r="F26" s="50"/>
      <c r="G26" s="5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6688861.7677753083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189963.67420481876</v>
      </c>
      <c r="H31" s="14" t="s">
        <v>3</v>
      </c>
      <c r="I31" s="1"/>
    </row>
    <row r="32" spans="1:9" x14ac:dyDescent="0.25">
      <c r="A32" s="1"/>
      <c r="B32" s="49"/>
      <c r="C32" s="50"/>
      <c r="D32" s="50"/>
      <c r="E32" s="50"/>
      <c r="F32" s="50"/>
      <c r="G32" s="5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6626926.3860138282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188204.70936279272</v>
      </c>
      <c r="H37" s="14" t="s">
        <v>3</v>
      </c>
      <c r="I37" s="1"/>
    </row>
    <row r="38" spans="1:9" x14ac:dyDescent="0.25">
      <c r="A38" s="1"/>
      <c r="B38" s="49"/>
      <c r="C38" s="50"/>
      <c r="D38" s="50"/>
      <c r="E38" s="50"/>
      <c r="F38" s="50"/>
      <c r="G38" s="5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6565564.4936810611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186462.03162054214</v>
      </c>
      <c r="H43" s="14" t="s">
        <v>3</v>
      </c>
      <c r="I43" s="1"/>
    </row>
    <row r="44" spans="1:9" x14ac:dyDescent="0.25">
      <c r="A44" s="1"/>
      <c r="B44" s="49"/>
      <c r="C44" s="50"/>
      <c r="D44" s="50"/>
      <c r="E44" s="50"/>
      <c r="F44" s="50"/>
      <c r="G44" s="5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mKqXtQOjm1RY5mAfOG++36pL/GYkWXdULCZsnfw55fiDdHAAjXJ2z0xzaTKu80NJuuOc8E+5VSCBAnbcW8z3w==" saltValue="wC5pigLFdPGcuf7/KNjBKg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3.8001521284228585E-3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1.309020443726182E-2</v>
      </c>
      <c r="H10" s="14"/>
      <c r="I10" s="1"/>
    </row>
    <row r="11" spans="1:9" x14ac:dyDescent="0.25">
      <c r="A11" s="1"/>
      <c r="B11" s="49"/>
      <c r="C11" s="50"/>
      <c r="D11" s="50"/>
      <c r="E11" s="50"/>
      <c r="F11" s="50"/>
      <c r="G11" s="5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wKQ2jkpt0f5qSqyamvIculVqbiviU857Qz28J2ycgznhuchfPtFPJt7immDhSQ1/il1kW0sJLS46hIAGJrZ+A==" saltValue="2l3TXZ8VNIWaoT1e9f68v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2019-10-08T14:07:56Z</dcterms:modified>
</cp:coreProperties>
</file>