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åløv Rens AS (S07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11" l="1"/>
  <c r="E26" i="11"/>
  <c r="E25" i="11"/>
  <c r="E24" i="11"/>
  <c r="E23" i="11"/>
  <c r="E22" i="11"/>
  <c r="E21" i="11"/>
  <c r="E20" i="11"/>
  <c r="E18" i="11"/>
  <c r="E17" i="11"/>
  <c r="E16" i="11"/>
  <c r="E15" i="11"/>
  <c r="E14" i="11"/>
  <c r="E13" i="11"/>
  <c r="E12" i="11"/>
  <c r="E11" i="11"/>
  <c r="E19" i="40" l="1"/>
  <c r="E16" i="40" l="1"/>
  <c r="E12" i="40"/>
  <c r="E27" i="11" l="1"/>
  <c r="E28" i="11"/>
  <c r="E10" i="1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6" i="15" s="1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E22" i="39" l="1"/>
  <c r="C27" i="15" s="1"/>
  <c r="E30" i="39"/>
  <c r="C22" i="22" s="1"/>
  <c r="C23" i="22" s="1"/>
  <c r="E38" i="39"/>
  <c r="C22" i="23" s="1"/>
  <c r="C23" i="23" s="1"/>
  <c r="E14" i="39"/>
  <c r="C29" i="2" s="1"/>
  <c r="C14" i="39"/>
  <c r="C28" i="2" s="1"/>
  <c r="G12" i="10"/>
  <c r="G14" i="10" s="1"/>
  <c r="C28" i="15" l="1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5" i="27" s="1"/>
  <c r="C9" i="2" l="1"/>
  <c r="E28" i="32"/>
  <c r="C25" i="22" s="1"/>
  <c r="C25" i="23" l="1"/>
  <c r="F29" i="11" l="1"/>
  <c r="C10" i="37" s="1"/>
  <c r="C12" i="37" s="1"/>
  <c r="C13" i="37" s="1"/>
  <c r="C12" i="2" s="1"/>
  <c r="G29" i="11"/>
  <c r="E11" i="21" l="1"/>
  <c r="C11" i="21"/>
  <c r="E11" i="29"/>
  <c r="C11" i="29"/>
  <c r="C13" i="19"/>
  <c r="C14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29" i="11" l="1"/>
  <c r="E10" i="37" s="1"/>
  <c r="E12" i="37" s="1"/>
  <c r="E13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C39" i="2" s="1"/>
  <c r="G48" i="30"/>
  <c r="C13" i="23" s="1"/>
  <c r="G44" i="36"/>
  <c r="G46" i="36" s="1"/>
  <c r="C9" i="15" l="1"/>
  <c r="C16" i="15" s="1"/>
  <c r="C19" i="15"/>
  <c r="C14" i="22"/>
  <c r="C17" i="15" l="1"/>
  <c r="C20" i="15" l="1"/>
  <c r="C31" i="15" s="1"/>
  <c r="C14" i="23"/>
  <c r="C8" i="22" l="1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<sst xmlns="http://schemas.openxmlformats.org/spreadsheetml/2006/main" count="742" uniqueCount="290">
  <si>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</si>
  <si>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</si>
  <si>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</si>
  <si>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</si>
  <si>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</si>
  <si>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</si>
  <si>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</si>
  <si>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</si>
  <si>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</si>
  <si>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</si>
  <si>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</si>
  <si>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</si>
  <si>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</si>
  <si>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</si>
  <si>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</si>
  <si>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</si>
  <si>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</si>
  <si>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</si>
  <si>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</si>
  <si>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</si>
  <si>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</si>
  <si>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</si>
  <si>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</si>
  <si>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</si>
  <si>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</si>
  <si>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</si>
  <si>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</si>
  <si>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</si>
  <si>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</si>
  <si>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</si>
  <si>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</si>
  <si>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</si>
  <si>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</si>
  <si>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</si>
  <si>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</si>
  <si>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</si>
  <si>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</si>
  <si>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</si>
  <si>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</si>
  <si>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</si>
  <si>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</si>
  <si>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</si>
  <si>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</si>
  <si>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</si>
  <si>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</si>
  <si>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</si>
  <si>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</si>
  <si>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</si>
  <si>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</si>
  <si>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</si>
  <si>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</si>
  <si>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</si>
  <si>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</si>
  <si>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</si>
  <si>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</si>
  <si>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</si>
  <si>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</si>
  <si>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</si>
  <si>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</si>
  <si>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</si>
  <si>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</si>
  <si>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</si>
  <si>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</si>
  <si>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</si>
  <si>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</si>
  <si>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</si>
  <si>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</si>
  <si>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</si>
  <si>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</si>
  <si>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</si>
  <si>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</si>
  <si>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</si>
  <si>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</si>
  <si>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</si>
  <si>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</si>
  <si>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</si>
  <si>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</si>
  <si>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</si>
  <si>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</si>
  <si>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</si>
  <si>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</si>
  <si>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</si>
  <si>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</si>
  <si>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</si>
  <si>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</si>
  <si>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</si>
  <si>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</si>
  <si>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</si>
  <si>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</si>
  <si>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</si>
  <si>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</si>
  <si>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</si>
  <si>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</si>
  <si>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</si>
  <si>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</si>
  <si>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</si>
  <si>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</si>
  <si>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</si>
  <si>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</si>
  <si>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</si>
  <si>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</si>
  <si>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</si>
  <si>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</si>
  <si>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</si>
  <si>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</si>
  <si>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</si>
  <si>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</si>
  <si>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</si>
  <si>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</si>
  <si>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</si>
  <si>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</si>
  <si>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</si>
  <si>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</si>
  <si>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</si>
  <si>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</si>
  <si>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</si>
  <si>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</si>
  <si>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</si>
  <si>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</si>
  <si>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</si>
  <si>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</si>
  <si>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</si>
  <si>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</si>
  <si>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</si>
  <si>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</si>
  <si>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</si>
  <si>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</si>
  <si>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</si>
  <si>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</si>
  <si>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</si>
  <si>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</si>
  <si>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</si>
  <si>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</si>
  <si>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</si>
  <si>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</si>
  <si>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</si>
  <si>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</si>
  <si>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</si>
  <si>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</si>
  <si>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</si>
  <si>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</si>
  <si>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</si>
  <si>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</si>
  <si>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</si>
  <si>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</si>
  <si>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</si>
  <si>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</si>
  <si>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</si>
  <si>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</si>
  <si>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</si>
  <si>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</si>
  <si>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</si>
  <si>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</si>
  <si>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</si>
  <si>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</si>
  <si>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</si>
  <si>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</si>
  <si>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</si>
  <si>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</si>
  <si>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</si>
  <si>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</si>
  <si>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</si>
  <si>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</si>
  <si>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</si>
  <si>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</si>
  <si>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</si>
  <si>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</si>
  <si>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</si>
  <si>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</si>
  <si>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</si>
  <si>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</si>
  <si>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</si>
  <si>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</si>
  <si>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</si>
  <si>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</si>
  <si>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</si>
  <si>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</si>
  <si>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</si>
  <si>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</si>
  <si>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</si>
  <si>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</si>
  <si>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</si>
  <si>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</si>
  <si>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</si>
  <si>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</si>
  <si>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</si>
  <si>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</si>
  <si>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</si>
  <si>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</si>
  <si>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</si>
  <si>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</si>
  <si>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</si>
  <si>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</si>
  <si>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</si>
  <si>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</si>
  <si>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</si>
  <si>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</si>
  <si>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</si>
  <si>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</si>
  <si>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</si>
  <si>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</si>
  <si>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</si>
  <si>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</si>
  <si>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</si>
  <si>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</si>
  <si>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</si>
  <si>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</si>
  <si>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</si>
  <si>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</si>
  <si>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</si>
  <si>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</si>
  <si>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</si>
  <si>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</si>
  <si>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</si>
  <si>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</si>
  <si>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</si>
  <si>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</si>
  <si>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</si>
  <si>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</si>
  <si>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</si>
  <si>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</si>
  <si>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</si>
  <si>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</si>
  <si>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</si>
  <si>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</si>
  <si>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</si>
  <si>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</si>
  <si>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</si>
  <si>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</si>
  <si>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</si>
  <si>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</si>
  <si>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</si>
  <si>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</si>
  <si>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</si>
  <si>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</si>
  <si>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</si>
  <si>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</si>
  <si>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</si>
  <si>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</si>
  <si>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</si>
  <si>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</si>
  <si>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</si>
  <si>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</si>
  <si>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</si>
  <si>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</si>
  <si>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</si>
  <si>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</si>
  <si>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</si>
  <si>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</si>
  <si>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</si>
  <si>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</si>
  <si>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</si>
  <si>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</si>
  <si>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</si>
  <si>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</si>
  <si>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</si>
  <si>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</si>
  <si>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</si>
  <si>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</si>
  <si>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</si>
  <si>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</si>
  <si>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</si>
  <si>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</si>
  <si>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</si>
  <si>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</si>
  <si>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</si>
  <si>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</si>
  <si>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Supplerende investeringstillæg</t>
  </si>
  <si>
    <t>Driftsunderskud</t>
  </si>
  <si>
    <t>Fradrag for tidligere tillæg til driftsunderskud</t>
  </si>
  <si>
    <t>Supplerende inveteringstillæg</t>
  </si>
  <si>
    <t>Spildevandsafgift</t>
  </si>
  <si>
    <t>Afgift til Forsyningssekretariatet</t>
  </si>
  <si>
    <t>Køb af ydelser og produkter fra andre vandselskaber reguleret af vandsektorloven</t>
  </si>
  <si>
    <t>Garantiprovision</t>
  </si>
  <si>
    <t>Ingen engangstillæg</t>
  </si>
  <si>
    <t>Beluftningstanke, SRO</t>
  </si>
  <si>
    <t>Forsinkelsesbassiner, lukkede med automatisk rensning og SRO Miljøklasse A (1.000-3.000 m3) - SRO</t>
  </si>
  <si>
    <t>Efterbehandlingsanlæg (sandfilter), Mek/EL</t>
  </si>
  <si>
    <t>Efterbehandlingsanlæg (sandfilter), SRO</t>
  </si>
  <si>
    <t>Beluftningstanke, Mek/EL</t>
  </si>
  <si>
    <t>Efterklaringstanke, Mek/El</t>
  </si>
  <si>
    <t>Efterklaringstanke, SRO</t>
  </si>
  <si>
    <t>Forsinkelsesbassiner, lukkede med automatisk rensning og SRO Miljøklasse A (1.000-3.000 m3) - Mek/EL</t>
  </si>
  <si>
    <t>Forklaring, Mek/EL</t>
  </si>
  <si>
    <t>Forklaring, SRO</t>
  </si>
  <si>
    <t>Rådnetanke, slam, Konstruktioner</t>
  </si>
  <si>
    <t>Indløb med riste, Mek/EL</t>
  </si>
  <si>
    <t>Indløb med riste, SRO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</si>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</sst>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214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133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134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255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221</v>
      </c>
      <c r="D18" s="61" t="s">
        <v>176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222</v>
      </c>
      <c r="D19" s="61" t="s">
        <v>177</v>
      </c>
      <c r="E19" s="62"/>
      <c r="F19" s="62"/>
      <c r="G19" s="63"/>
      <c r="H19" s="1"/>
      <c r="I19" s="1"/>
    </row>
    <row r="20" spans="1:9" x14ac:dyDescent="0.25">
      <c r="A20" s="1"/>
      <c r="B20" s="1"/>
      <c r="C20" s="6" t="s">
        <v>7</v>
      </c>
      <c r="D20" s="61" t="s">
        <v>10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223</v>
      </c>
      <c r="D21" s="67" t="s">
        <v>17</v>
      </c>
      <c r="E21" s="68"/>
      <c r="F21" s="68"/>
      <c r="G21" s="69"/>
      <c r="H21" s="1"/>
      <c r="I21" s="1"/>
    </row>
    <row r="22" spans="1:9" x14ac:dyDescent="0.25">
      <c r="A22" s="1"/>
      <c r="B22" s="1"/>
      <c r="C22" s="6" t="s">
        <v>140</v>
      </c>
      <c r="D22" s="53" t="s">
        <v>173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258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55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224</v>
      </c>
      <c r="D25" s="53" t="s">
        <v>141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225</v>
      </c>
      <c r="D26" s="53" t="s">
        <v>142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226</v>
      </c>
      <c r="D27" s="53" t="s">
        <v>143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22</v>
      </c>
      <c r="D28" s="53" t="s">
        <v>56</v>
      </c>
      <c r="E28" s="54"/>
      <c r="F28" s="54"/>
      <c r="G28" s="55"/>
      <c r="H28" s="1"/>
      <c r="I28" s="1"/>
    </row>
    <row r="29" spans="1:9" x14ac:dyDescent="0.25">
      <c r="A29" s="1"/>
      <c r="B29" s="1"/>
      <c r="C29" s="6" t="s">
        <v>58</v>
      </c>
      <c r="D29" s="53" t="s">
        <v>57</v>
      </c>
      <c r="E29" s="54"/>
      <c r="F29" s="54"/>
      <c r="G29" s="55"/>
      <c r="H29" s="1"/>
      <c r="I29" s="1"/>
    </row>
    <row r="30" spans="1:9" x14ac:dyDescent="0.25">
      <c r="A30" s="1"/>
      <c r="B30" s="1"/>
      <c r="C30" s="6" t="s">
        <v>59</v>
      </c>
      <c r="D30" s="70" t="s">
        <v>11</v>
      </c>
      <c r="E30" s="71"/>
      <c r="F30" s="71"/>
      <c r="G30" s="72"/>
      <c r="H30" s="1"/>
      <c r="I30" s="1"/>
    </row>
    <row r="31" spans="1:9" x14ac:dyDescent="0.25">
      <c r="A31" s="1"/>
      <c r="B31" s="1"/>
      <c r="C31" s="6" t="s">
        <v>172</v>
      </c>
      <c r="D31" s="64" t="s">
        <v>207</v>
      </c>
      <c r="E31" s="65"/>
      <c r="F31" s="65"/>
      <c r="G31" s="66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gMhR7kbdWZIE4SmsME0Ej6SeircxaH7jfaKcqL1JFr2ZBtnpVvk/3DAsuARPrS81oYlmwFzyOCZ+MMyQ/mLURA==" saltValue="iNylfi3G9CfuFrjd4b7lmQ==" spinCount="100000" sheet="1" objects="1" scenarios="1"/>
  <mergeCells count="22"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233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66</v>
      </c>
      <c r="C8" s="98"/>
      <c r="D8" s="99"/>
      <c r="E8" s="1"/>
      <c r="F8" s="1"/>
    </row>
    <row r="9" spans="1:6" ht="15" customHeight="1" x14ac:dyDescent="0.25">
      <c r="A9" s="1"/>
      <c r="B9" s="37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271</v>
      </c>
      <c r="C10" s="9">
        <v>1133528</v>
      </c>
      <c r="D10" s="14" t="s">
        <v>3</v>
      </c>
      <c r="E10" s="1"/>
      <c r="F10" s="1"/>
    </row>
    <row r="11" spans="1:6" x14ac:dyDescent="0.25">
      <c r="A11" s="1"/>
      <c r="B11" s="47" t="s">
        <v>272</v>
      </c>
      <c r="C11" s="9">
        <v>48456</v>
      </c>
      <c r="D11" s="14" t="s">
        <v>3</v>
      </c>
      <c r="E11" s="1"/>
      <c r="F11" s="1"/>
    </row>
    <row r="12" spans="1:6" ht="26.25" x14ac:dyDescent="0.25">
      <c r="A12" s="1"/>
      <c r="B12" s="43" t="s">
        <v>273</v>
      </c>
      <c r="C12" s="9">
        <v>1940477</v>
      </c>
      <c r="D12" s="14" t="s">
        <v>3</v>
      </c>
      <c r="E12" s="1"/>
      <c r="F12" s="1"/>
    </row>
    <row r="13" spans="1:6" x14ac:dyDescent="0.25">
      <c r="A13" s="1"/>
      <c r="B13" s="44" t="s">
        <v>68</v>
      </c>
      <c r="C13" s="12">
        <f>SUM(C10:C12)</f>
        <v>3122461</v>
      </c>
      <c r="D13" s="13" t="s">
        <v>3</v>
      </c>
      <c r="E13" s="1"/>
      <c r="F13" s="1"/>
    </row>
    <row r="14" spans="1:6" x14ac:dyDescent="0.25">
      <c r="A14" s="1"/>
      <c r="B14" s="44" t="s">
        <v>69</v>
      </c>
      <c r="C14" s="12">
        <f>C13*(1+'Fane 15. Nøgletal'!C12)^2</f>
        <v>3246697.7592894901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7" t="s">
        <v>244</v>
      </c>
      <c r="C17" s="98"/>
      <c r="D17" s="99"/>
      <c r="E17" s="1"/>
      <c r="F17" s="1"/>
    </row>
    <row r="18" spans="1:6" x14ac:dyDescent="0.25">
      <c r="A18" s="1"/>
      <c r="B18" s="47" t="s">
        <v>193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47" t="s">
        <v>194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47" t="s">
        <v>195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7" t="s">
        <v>196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7"/>
      <c r="C22" s="98"/>
      <c r="D22" s="99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7" t="s">
        <v>192</v>
      </c>
      <c r="C25" s="98"/>
      <c r="D25" s="99"/>
      <c r="E25" s="1"/>
      <c r="F25" s="1"/>
    </row>
    <row r="26" spans="1:6" x14ac:dyDescent="0.25">
      <c r="A26" s="1"/>
      <c r="B26" s="47" t="s">
        <v>193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47" t="s">
        <v>194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7" t="s">
        <v>195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7" t="s">
        <v>196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7"/>
      <c r="C30" s="98"/>
      <c r="D30" s="99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WF1X+PJlkvjvPnxCanz1DIXtJcZpIcEW2X89z4zTuhwoYcFsCY9ohUCSxEJCVW8yRr+7lmp9sC9kkymxVw/eg==" saltValue="oGaddfiG6jYJ1s4KtDAXd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232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42"/>
      <c r="C5" s="42"/>
      <c r="D5" s="42"/>
      <c r="E5" s="42"/>
      <c r="F5" s="42"/>
      <c r="G5" s="1"/>
    </row>
    <row r="6" spans="1:7" ht="15" customHeight="1" x14ac:dyDescent="0.25">
      <c r="A6" s="1"/>
      <c r="B6" s="42"/>
      <c r="C6" s="42"/>
      <c r="D6" s="42"/>
      <c r="E6" s="42"/>
      <c r="F6" s="4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179</v>
      </c>
      <c r="C8" s="98"/>
      <c r="D8" s="98"/>
      <c r="E8" s="98"/>
      <c r="F8" s="99"/>
      <c r="G8" s="1"/>
    </row>
    <row r="9" spans="1:7" x14ac:dyDescent="0.25">
      <c r="A9" s="1"/>
      <c r="B9" s="103" t="s">
        <v>180</v>
      </c>
      <c r="C9" s="104"/>
      <c r="D9" s="105"/>
      <c r="E9" s="9">
        <v>18148140.61227344</v>
      </c>
      <c r="F9" s="14" t="s">
        <v>3</v>
      </c>
      <c r="G9" s="1"/>
    </row>
    <row r="10" spans="1:7" x14ac:dyDescent="0.25">
      <c r="A10" s="1"/>
      <c r="B10" s="103" t="s">
        <v>181</v>
      </c>
      <c r="C10" s="104"/>
      <c r="D10" s="105"/>
      <c r="E10" s="9">
        <v>16542525</v>
      </c>
      <c r="F10" s="14" t="s">
        <v>3</v>
      </c>
      <c r="G10" s="1"/>
    </row>
    <row r="11" spans="1:7" x14ac:dyDescent="0.25">
      <c r="A11" s="1"/>
      <c r="B11" s="103" t="s">
        <v>50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100" t="s">
        <v>182</v>
      </c>
      <c r="C12" s="101"/>
      <c r="D12" s="102"/>
      <c r="E12" s="10">
        <f>E9-(E10-E11)</f>
        <v>1605615.6122734398</v>
      </c>
      <c r="F12" s="17" t="s">
        <v>3</v>
      </c>
      <c r="G12" s="1"/>
    </row>
    <row r="13" spans="1:7" x14ac:dyDescent="0.25">
      <c r="A13" s="1"/>
      <c r="B13" s="44"/>
      <c r="C13" s="45"/>
      <c r="D13" s="45"/>
      <c r="E13" s="45"/>
      <c r="F13" s="46"/>
      <c r="G13" s="1"/>
    </row>
    <row r="14" spans="1:7" ht="27.75" customHeight="1" x14ac:dyDescent="0.25">
      <c r="A14" s="1"/>
      <c r="B14" s="81" t="s">
        <v>209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7" t="s">
        <v>74</v>
      </c>
      <c r="C17" s="98"/>
      <c r="D17" s="98"/>
      <c r="E17" s="98"/>
      <c r="F17" s="99"/>
      <c r="G17" s="1"/>
    </row>
    <row r="18" spans="1:7" x14ac:dyDescent="0.25">
      <c r="A18" s="1"/>
      <c r="B18" s="103" t="s">
        <v>75</v>
      </c>
      <c r="C18" s="104"/>
      <c r="D18" s="105"/>
      <c r="E18" s="9">
        <v>18056706.813723855</v>
      </c>
      <c r="F18" s="14" t="s">
        <v>3</v>
      </c>
      <c r="G18" s="1"/>
    </row>
    <row r="19" spans="1:7" x14ac:dyDescent="0.25">
      <c r="A19" s="1"/>
      <c r="B19" s="103" t="s">
        <v>76</v>
      </c>
      <c r="C19" s="104"/>
      <c r="D19" s="105"/>
      <c r="E19" s="9">
        <v>19555802</v>
      </c>
      <c r="F19" s="14" t="s">
        <v>3</v>
      </c>
      <c r="G19" s="1"/>
    </row>
    <row r="20" spans="1:7" x14ac:dyDescent="0.25">
      <c r="A20" s="1"/>
      <c r="B20" s="103" t="s">
        <v>50</v>
      </c>
      <c r="C20" s="104"/>
      <c r="D20" s="105"/>
      <c r="E20" s="9">
        <v>0</v>
      </c>
      <c r="F20" s="14" t="s">
        <v>3</v>
      </c>
      <c r="G20" s="1"/>
    </row>
    <row r="21" spans="1:7" x14ac:dyDescent="0.25">
      <c r="A21" s="1"/>
      <c r="B21" s="100" t="s">
        <v>77</v>
      </c>
      <c r="C21" s="101"/>
      <c r="D21" s="102"/>
      <c r="E21" s="10">
        <f>E18-(E19-E20)</f>
        <v>-1499095.1862761453</v>
      </c>
      <c r="F21" s="17" t="s">
        <v>3</v>
      </c>
      <c r="G21" s="1"/>
    </row>
    <row r="22" spans="1:7" x14ac:dyDescent="0.25">
      <c r="A22" s="1"/>
      <c r="B22" s="44"/>
      <c r="C22" s="45"/>
      <c r="D22" s="45"/>
      <c r="E22" s="45"/>
      <c r="F22" s="46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7" t="s">
        <v>201</v>
      </c>
      <c r="C25" s="98"/>
      <c r="D25" s="98"/>
      <c r="E25" s="98"/>
      <c r="F25" s="99"/>
      <c r="G25" s="1"/>
    </row>
    <row r="26" spans="1:7" x14ac:dyDescent="0.25">
      <c r="A26" s="1"/>
      <c r="B26" s="112" t="s">
        <v>171</v>
      </c>
      <c r="C26" s="113"/>
      <c r="D26" s="114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2" t="s">
        <v>200</v>
      </c>
      <c r="C27" s="113"/>
      <c r="D27" s="114"/>
      <c r="E27" s="9">
        <v>4</v>
      </c>
      <c r="F27" s="14" t="s">
        <v>28</v>
      </c>
      <c r="G27" s="1"/>
    </row>
    <row r="28" spans="1:7" x14ac:dyDescent="0.25">
      <c r="A28" s="1"/>
      <c r="B28" s="100" t="s">
        <v>210</v>
      </c>
      <c r="C28" s="101"/>
      <c r="D28" s="102"/>
      <c r="E28" s="10">
        <f>E26/E27</f>
        <v>0</v>
      </c>
      <c r="F28" s="17" t="s">
        <v>3</v>
      </c>
      <c r="G28" s="1"/>
    </row>
    <row r="29" spans="1:7" x14ac:dyDescent="0.25">
      <c r="A29" s="1"/>
      <c r="B29" s="115"/>
      <c r="C29" s="116"/>
      <c r="D29" s="116"/>
      <c r="E29" s="116"/>
      <c r="F29" s="117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7tpIIIhJEB0ZrYryTw4G2jq26ez9DiibuWwPU0lJ5pyzm1rUpXxyFLJBTjMVp4LvB2ne8Z8/wJ8H+MtRFVdn+Q==" saltValue="op4lxc55bLZv2FmOZwcLS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7:D27"/>
    <mergeCell ref="B28:D28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260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7" t="s">
        <v>174</v>
      </c>
      <c r="C9" s="98"/>
      <c r="D9" s="98"/>
      <c r="E9" s="98"/>
      <c r="F9" s="98"/>
      <c r="G9" s="1"/>
    </row>
    <row r="10" spans="1:7" x14ac:dyDescent="0.25">
      <c r="A10" s="1"/>
      <c r="B10" s="81" t="s">
        <v>197</v>
      </c>
      <c r="C10" s="82"/>
      <c r="D10" s="83"/>
      <c r="E10" s="7">
        <v>756212.83600274997</v>
      </c>
      <c r="F10" s="8" t="s">
        <v>3</v>
      </c>
      <c r="G10" s="1"/>
    </row>
    <row r="11" spans="1:7" x14ac:dyDescent="0.25">
      <c r="A11" s="1"/>
      <c r="B11" s="103" t="s">
        <v>198</v>
      </c>
      <c r="C11" s="104"/>
      <c r="D11" s="105"/>
      <c r="E11" s="7">
        <v>610339.89</v>
      </c>
      <c r="F11" s="8" t="s">
        <v>3</v>
      </c>
      <c r="G11" s="1"/>
    </row>
    <row r="12" spans="1:7" x14ac:dyDescent="0.25">
      <c r="A12" s="1"/>
      <c r="B12" s="100" t="s">
        <v>199</v>
      </c>
      <c r="C12" s="101"/>
      <c r="D12" s="102"/>
      <c r="E12" s="10">
        <f>E11-E10</f>
        <v>-145872.94600274996</v>
      </c>
      <c r="F12" s="11" t="s">
        <v>3</v>
      </c>
      <c r="G12" s="1"/>
    </row>
    <row r="13" spans="1:7" x14ac:dyDescent="0.25">
      <c r="A13" s="1"/>
      <c r="B13" s="97" t="s">
        <v>175</v>
      </c>
      <c r="C13" s="98"/>
      <c r="D13" s="98"/>
      <c r="E13" s="98"/>
      <c r="F13" s="98"/>
      <c r="G13" s="1"/>
    </row>
    <row r="14" spans="1:7" x14ac:dyDescent="0.25">
      <c r="A14" s="1"/>
      <c r="B14" s="103" t="s">
        <v>218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1" t="s">
        <v>219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100" t="s">
        <v>199</v>
      </c>
      <c r="C16" s="101"/>
      <c r="D16" s="102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7" t="s">
        <v>170</v>
      </c>
      <c r="C17" s="98"/>
      <c r="D17" s="98"/>
      <c r="E17" s="98"/>
      <c r="F17" s="98"/>
      <c r="G17" s="1"/>
    </row>
    <row r="18" spans="1:7" ht="28.15" customHeight="1" x14ac:dyDescent="0.25">
      <c r="A18" s="1"/>
      <c r="B18" s="81" t="s">
        <v>266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84" t="s">
        <v>178</v>
      </c>
      <c r="C19" s="85"/>
      <c r="D19" s="86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4" t="s">
        <v>190</v>
      </c>
      <c r="C20" s="45"/>
      <c r="D20" s="45"/>
      <c r="E20" s="12">
        <f>E12+E16+E19</f>
        <v>-145872.94600274996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Ahtc+TF+5KuZ9R7WO604W7tDryxuGmbLH3tGLhHSZj1MiyrcXQhlsVI4jRBxWE6HpbsBB2z4x/s9opT7e2U+jQ==" saltValue="L6GhsEnW7pcPetWc4QOV2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261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262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41"/>
      <c r="I9" s="1"/>
    </row>
    <row r="10" spans="1:9" x14ac:dyDescent="0.25">
      <c r="A10" s="1"/>
      <c r="B10" s="51" t="s">
        <v>276</v>
      </c>
      <c r="C10" s="127">
        <v>10</v>
      </c>
      <c r="D10" s="9">
        <v>1204797</v>
      </c>
      <c r="E10" s="9">
        <f>IFERROR(D10/C10,0)</f>
        <v>120479.7</v>
      </c>
      <c r="F10" s="9">
        <v>0</v>
      </c>
      <c r="G10" s="9">
        <v>19638.2</v>
      </c>
      <c r="H10" s="14" t="s">
        <v>3</v>
      </c>
      <c r="I10" s="1"/>
    </row>
    <row r="11" spans="1:9" ht="64.5" x14ac:dyDescent="0.25">
      <c r="A11" s="1"/>
      <c r="B11" s="51" t="s">
        <v>277</v>
      </c>
      <c r="C11" s="127">
        <v>10</v>
      </c>
      <c r="D11" s="9">
        <v>1204797</v>
      </c>
      <c r="E11" s="9">
        <f t="shared" ref="E11:E26" si="0">IFERROR(D11/C11,0)</f>
        <v>120479.7</v>
      </c>
      <c r="F11" s="9">
        <v>0</v>
      </c>
      <c r="G11" s="9">
        <v>19638.2</v>
      </c>
      <c r="H11" s="14" t="s">
        <v>3</v>
      </c>
      <c r="I11" s="1"/>
    </row>
    <row r="12" spans="1:9" ht="26.25" x14ac:dyDescent="0.25">
      <c r="A12" s="1"/>
      <c r="B12" s="51" t="s">
        <v>278</v>
      </c>
      <c r="C12" s="127">
        <v>20</v>
      </c>
      <c r="D12" s="9">
        <v>828614</v>
      </c>
      <c r="E12" s="9">
        <f t="shared" si="0"/>
        <v>41430.699999999997</v>
      </c>
      <c r="F12" s="9">
        <v>0</v>
      </c>
      <c r="G12" s="9">
        <v>13506.41</v>
      </c>
      <c r="H12" s="14" t="s">
        <v>3</v>
      </c>
      <c r="I12" s="1"/>
    </row>
    <row r="13" spans="1:9" ht="26.25" x14ac:dyDescent="0.25">
      <c r="A13" s="1"/>
      <c r="B13" s="51" t="s">
        <v>279</v>
      </c>
      <c r="C13" s="127">
        <v>10</v>
      </c>
      <c r="D13" s="9">
        <v>92068</v>
      </c>
      <c r="E13" s="9">
        <f t="shared" si="0"/>
        <v>9206.7999999999993</v>
      </c>
      <c r="F13" s="9">
        <v>0</v>
      </c>
      <c r="G13" s="9">
        <v>1500.71</v>
      </c>
      <c r="H13" s="14" t="s">
        <v>3</v>
      </c>
      <c r="I13" s="1"/>
    </row>
    <row r="14" spans="1:9" x14ac:dyDescent="0.25">
      <c r="A14" s="1"/>
      <c r="B14" s="51" t="s">
        <v>280</v>
      </c>
      <c r="C14" s="127">
        <v>20</v>
      </c>
      <c r="D14" s="9">
        <v>1062173</v>
      </c>
      <c r="E14" s="9">
        <f t="shared" si="0"/>
        <v>53108.65</v>
      </c>
      <c r="F14" s="9">
        <v>0</v>
      </c>
      <c r="G14" s="9">
        <v>17313.419999999998</v>
      </c>
      <c r="H14" s="14" t="s">
        <v>3</v>
      </c>
      <c r="I14" s="1"/>
    </row>
    <row r="15" spans="1:9" x14ac:dyDescent="0.25">
      <c r="A15" s="1"/>
      <c r="B15" s="51" t="s">
        <v>276</v>
      </c>
      <c r="C15" s="127">
        <v>10</v>
      </c>
      <c r="D15" s="9">
        <v>118019</v>
      </c>
      <c r="E15" s="9">
        <f t="shared" si="0"/>
        <v>11801.9</v>
      </c>
      <c r="F15" s="9">
        <v>0</v>
      </c>
      <c r="G15" s="9">
        <v>1923.71</v>
      </c>
      <c r="H15" s="14" t="s">
        <v>3</v>
      </c>
      <c r="I15" s="1"/>
    </row>
    <row r="16" spans="1:9" x14ac:dyDescent="0.25">
      <c r="A16" s="1"/>
      <c r="B16" s="51" t="s">
        <v>280</v>
      </c>
      <c r="C16" s="127">
        <v>20</v>
      </c>
      <c r="D16" s="9">
        <v>44054</v>
      </c>
      <c r="E16" s="9">
        <f t="shared" si="0"/>
        <v>2202.6999999999998</v>
      </c>
      <c r="F16" s="9">
        <v>0</v>
      </c>
      <c r="G16" s="9">
        <v>718.08</v>
      </c>
      <c r="H16" s="14" t="s">
        <v>3</v>
      </c>
      <c r="I16" s="1"/>
    </row>
    <row r="17" spans="1:9" x14ac:dyDescent="0.25">
      <c r="A17" s="1"/>
      <c r="B17" s="51" t="s">
        <v>276</v>
      </c>
      <c r="C17" s="127">
        <v>10</v>
      </c>
      <c r="D17" s="9">
        <v>110135</v>
      </c>
      <c r="E17" s="9">
        <f t="shared" si="0"/>
        <v>11013.5</v>
      </c>
      <c r="F17" s="9">
        <v>0</v>
      </c>
      <c r="G17" s="9">
        <v>1795.2</v>
      </c>
      <c r="H17" s="14" t="s">
        <v>3</v>
      </c>
      <c r="I17" s="1"/>
    </row>
    <row r="18" spans="1:9" x14ac:dyDescent="0.25">
      <c r="A18" s="1"/>
      <c r="B18" s="51" t="s">
        <v>281</v>
      </c>
      <c r="C18" s="127">
        <v>20</v>
      </c>
      <c r="D18" s="9">
        <v>176216</v>
      </c>
      <c r="E18" s="9">
        <f t="shared" si="0"/>
        <v>8810.7999999999993</v>
      </c>
      <c r="F18" s="9">
        <v>0</v>
      </c>
      <c r="G18" s="9">
        <v>2872.33</v>
      </c>
      <c r="H18" s="14" t="s">
        <v>3</v>
      </c>
      <c r="I18" s="1"/>
    </row>
    <row r="19" spans="1:9" x14ac:dyDescent="0.25">
      <c r="A19" s="1"/>
      <c r="B19" s="51" t="s">
        <v>282</v>
      </c>
      <c r="C19" s="127">
        <v>10</v>
      </c>
      <c r="D19" s="9">
        <v>187230</v>
      </c>
      <c r="E19" s="9">
        <f t="shared" ref="E19" si="1">IFERROR(D19/C19,0)</f>
        <v>18723</v>
      </c>
      <c r="F19" s="9">
        <v>0</v>
      </c>
      <c r="G19" s="9">
        <v>3051.85</v>
      </c>
      <c r="H19" s="14" t="s">
        <v>3</v>
      </c>
      <c r="I19" s="1"/>
    </row>
    <row r="20" spans="1:9" ht="64.5" x14ac:dyDescent="0.25">
      <c r="A20" s="1"/>
      <c r="B20" s="51" t="s">
        <v>283</v>
      </c>
      <c r="C20" s="127">
        <v>20</v>
      </c>
      <c r="D20" s="9">
        <v>418514</v>
      </c>
      <c r="E20" s="9">
        <f t="shared" si="0"/>
        <v>20925.7</v>
      </c>
      <c r="F20" s="9">
        <v>0</v>
      </c>
      <c r="G20" s="9">
        <v>6821.78</v>
      </c>
      <c r="H20" s="14" t="s">
        <v>3</v>
      </c>
      <c r="I20" s="1"/>
    </row>
    <row r="21" spans="1:9" ht="64.5" x14ac:dyDescent="0.25">
      <c r="A21" s="1"/>
      <c r="B21" s="51" t="s">
        <v>277</v>
      </c>
      <c r="C21" s="127">
        <v>10</v>
      </c>
      <c r="D21" s="9">
        <v>165203</v>
      </c>
      <c r="E21" s="9">
        <f t="shared" si="0"/>
        <v>16520.3</v>
      </c>
      <c r="F21" s="9">
        <v>0</v>
      </c>
      <c r="G21" s="9">
        <v>2692.81</v>
      </c>
      <c r="H21" s="14" t="s">
        <v>3</v>
      </c>
      <c r="I21" s="1"/>
    </row>
    <row r="22" spans="1:9" x14ac:dyDescent="0.25">
      <c r="A22" s="1"/>
      <c r="B22" s="51" t="s">
        <v>284</v>
      </c>
      <c r="C22" s="127">
        <v>20</v>
      </c>
      <c r="D22" s="9">
        <v>38747</v>
      </c>
      <c r="E22" s="9">
        <f t="shared" si="0"/>
        <v>1937.35</v>
      </c>
      <c r="F22" s="9">
        <v>0</v>
      </c>
      <c r="G22" s="9">
        <v>631.58000000000004</v>
      </c>
      <c r="H22" s="14" t="s">
        <v>3</v>
      </c>
      <c r="I22" s="1"/>
    </row>
    <row r="23" spans="1:9" x14ac:dyDescent="0.25">
      <c r="A23" s="1"/>
      <c r="B23" s="51" t="s">
        <v>285</v>
      </c>
      <c r="C23" s="127">
        <v>10</v>
      </c>
      <c r="D23" s="9">
        <v>38747</v>
      </c>
      <c r="E23" s="9">
        <f t="shared" si="0"/>
        <v>3874.7</v>
      </c>
      <c r="F23" s="9">
        <v>0</v>
      </c>
      <c r="G23" s="9">
        <v>631.58000000000004</v>
      </c>
      <c r="H23" s="14" t="s">
        <v>3</v>
      </c>
      <c r="I23" s="1"/>
    </row>
    <row r="24" spans="1:9" ht="26.25" x14ac:dyDescent="0.25">
      <c r="A24" s="1"/>
      <c r="B24" s="51" t="s">
        <v>286</v>
      </c>
      <c r="C24" s="127">
        <v>60</v>
      </c>
      <c r="D24" s="9">
        <v>92721</v>
      </c>
      <c r="E24" s="9">
        <f t="shared" si="0"/>
        <v>1545.35</v>
      </c>
      <c r="F24" s="9">
        <v>0</v>
      </c>
      <c r="G24" s="9">
        <v>1511.35</v>
      </c>
      <c r="H24" s="14" t="s">
        <v>3</v>
      </c>
      <c r="I24" s="1"/>
    </row>
    <row r="25" spans="1:9" x14ac:dyDescent="0.25">
      <c r="A25" s="1"/>
      <c r="B25" s="51" t="s">
        <v>287</v>
      </c>
      <c r="C25" s="127">
        <v>20</v>
      </c>
      <c r="D25" s="9">
        <v>53386.21</v>
      </c>
      <c r="E25" s="9">
        <f t="shared" si="0"/>
        <v>2669.3105</v>
      </c>
      <c r="F25" s="9">
        <v>0</v>
      </c>
      <c r="G25" s="9">
        <v>870.2</v>
      </c>
      <c r="H25" s="14" t="s">
        <v>3</v>
      </c>
      <c r="I25" s="1"/>
    </row>
    <row r="26" spans="1:9" x14ac:dyDescent="0.25">
      <c r="A26" s="1"/>
      <c r="B26" s="51" t="s">
        <v>288</v>
      </c>
      <c r="C26" s="127">
        <v>10</v>
      </c>
      <c r="D26" s="9">
        <v>5932</v>
      </c>
      <c r="E26" s="9">
        <f t="shared" si="0"/>
        <v>593.20000000000005</v>
      </c>
      <c r="F26" s="9">
        <v>0</v>
      </c>
      <c r="G26" s="9">
        <v>96.69</v>
      </c>
      <c r="H26" s="14" t="s">
        <v>3</v>
      </c>
      <c r="I26" s="1"/>
    </row>
    <row r="27" spans="1:9" x14ac:dyDescent="0.25">
      <c r="A27" s="1"/>
      <c r="B27" s="51" t="s">
        <v>280</v>
      </c>
      <c r="C27" s="127">
        <v>20</v>
      </c>
      <c r="D27" s="9">
        <v>282079</v>
      </c>
      <c r="E27" s="9">
        <f t="shared" ref="E27:E28" si="2">IFERROR(D27/C27,0)</f>
        <v>14103.95</v>
      </c>
      <c r="F27" s="9">
        <v>0</v>
      </c>
      <c r="G27" s="9">
        <v>4597.8900000000003</v>
      </c>
      <c r="H27" s="14" t="s">
        <v>3</v>
      </c>
      <c r="I27" s="1"/>
    </row>
    <row r="28" spans="1:9" x14ac:dyDescent="0.25">
      <c r="A28" s="1"/>
      <c r="B28" s="51" t="s">
        <v>280</v>
      </c>
      <c r="C28" s="127">
        <v>20</v>
      </c>
      <c r="D28" s="9">
        <v>437023</v>
      </c>
      <c r="E28" s="9">
        <f t="shared" si="2"/>
        <v>21851.15</v>
      </c>
      <c r="F28" s="9">
        <v>0</v>
      </c>
      <c r="G28" s="9">
        <v>7123.47</v>
      </c>
      <c r="H28" s="14" t="s">
        <v>3</v>
      </c>
      <c r="I28" s="1"/>
    </row>
    <row r="29" spans="1:9" x14ac:dyDescent="0.25">
      <c r="A29" s="1"/>
      <c r="B29" s="97" t="s">
        <v>263</v>
      </c>
      <c r="C29" s="98"/>
      <c r="D29" s="99"/>
      <c r="E29" s="12">
        <f>SUM(E10:E28)</f>
        <v>481278.46050000004</v>
      </c>
      <c r="F29" s="12">
        <f>SUM(F10:F28)</f>
        <v>0</v>
      </c>
      <c r="G29" s="12">
        <f>SUM(G10:G28)</f>
        <v>106935.46000000002</v>
      </c>
      <c r="H29" s="13" t="s">
        <v>3</v>
      </c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</sheetData>
  <sheetProtection algorithmName="SHA-512" hashValue="QYQ7WZNVo/4oubzPZfyWarMkwiM+YIgLvA4YnjZQCIEZu8VcrZ2qSuOUpH24X5R0uptA4MIBVAmiXLku4VYAvA==" saltValue="E2ZkFXeCeAqb7wGy3Sf1Hw==" spinCount="100000" sheet="1" objects="1" scenarios="1"/>
  <mergeCells count="3">
    <mergeCell ref="B3:H4"/>
    <mergeCell ref="B29:D2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231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137</v>
      </c>
      <c r="C8" s="45"/>
      <c r="D8" s="45"/>
      <c r="E8" s="45"/>
      <c r="F8" s="46"/>
      <c r="G8" s="1"/>
    </row>
    <row r="9" spans="1:7" ht="17.25" customHeight="1" x14ac:dyDescent="0.25">
      <c r="A9" s="1"/>
      <c r="B9" s="38" t="s">
        <v>25</v>
      </c>
      <c r="C9" s="38" t="s">
        <v>16</v>
      </c>
      <c r="D9" s="39"/>
      <c r="E9" s="38" t="s">
        <v>48</v>
      </c>
      <c r="F9" s="41"/>
      <c r="G9" s="1"/>
    </row>
    <row r="10" spans="1:7" x14ac:dyDescent="0.25">
      <c r="A10" s="1"/>
      <c r="B10" s="26" t="s">
        <v>289</v>
      </c>
      <c r="C10" s="23">
        <f>'Fane 9. Anlægsprojekter'!F29</f>
        <v>0</v>
      </c>
      <c r="D10" s="14" t="s">
        <v>3</v>
      </c>
      <c r="E10" s="9">
        <f>SUM('Fane 9. Anlægsprojekter'!E29,'Fane 9. Anlægsprojekter'!G29)</f>
        <v>588213.92050000001</v>
      </c>
      <c r="F10" s="14" t="s">
        <v>3</v>
      </c>
      <c r="G10" s="1"/>
    </row>
    <row r="11" spans="1:7" x14ac:dyDescent="0.25">
      <c r="A11" s="1"/>
      <c r="B11" s="128" t="s">
        <v>274</v>
      </c>
      <c r="C11" s="23">
        <v>0</v>
      </c>
      <c r="D11" s="14" t="s">
        <v>3</v>
      </c>
      <c r="E11" s="9">
        <v>4105</v>
      </c>
      <c r="F11" s="14" t="s">
        <v>3</v>
      </c>
      <c r="G11" s="1"/>
    </row>
    <row r="12" spans="1:7" x14ac:dyDescent="0.25">
      <c r="A12" s="1"/>
      <c r="B12" s="44" t="s">
        <v>60</v>
      </c>
      <c r="C12" s="12">
        <f>SUM(C10:C11)</f>
        <v>0</v>
      </c>
      <c r="D12" s="13" t="s">
        <v>3</v>
      </c>
      <c r="E12" s="12">
        <f>SUM(E10:E11)</f>
        <v>592318.92050000001</v>
      </c>
      <c r="F12" s="13" t="s">
        <v>3</v>
      </c>
      <c r="G12" s="1"/>
    </row>
    <row r="13" spans="1:7" x14ac:dyDescent="0.25">
      <c r="A13" s="1"/>
      <c r="B13" s="44" t="s">
        <v>71</v>
      </c>
      <c r="C13" s="12">
        <f>C12*(1+'Fane 15. Nøgletal'!C12)</f>
        <v>0</v>
      </c>
      <c r="D13" s="13" t="s">
        <v>3</v>
      </c>
      <c r="E13" s="12">
        <f>E12*(1+'Fane 15. Nøgletal'!C12)</f>
        <v>603987.6032338501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DwEQFYA93zg26ThiA13TtS7Zz49zmL3mFbZrErKuNY/c0KclB1ssWUmBOig1Xodkpu5xTrmb5eWvcLYbHyzcg==" saltValue="8noFswTErKE+++frrkUWg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183</v>
      </c>
      <c r="C8" s="98"/>
      <c r="D8" s="98"/>
      <c r="E8" s="98"/>
      <c r="F8" s="99"/>
      <c r="G8" s="1"/>
    </row>
    <row r="9" spans="1:7" x14ac:dyDescent="0.25">
      <c r="A9" s="1"/>
      <c r="B9" s="38" t="s">
        <v>25</v>
      </c>
      <c r="C9" s="38" t="s">
        <v>16</v>
      </c>
      <c r="D9" s="39"/>
      <c r="E9" s="38" t="s">
        <v>48</v>
      </c>
      <c r="F9" s="41"/>
      <c r="G9" s="1"/>
    </row>
    <row r="10" spans="1:7" x14ac:dyDescent="0.25">
      <c r="A10" s="1"/>
      <c r="B10" s="26" t="s">
        <v>274</v>
      </c>
      <c r="C10" s="23">
        <v>0</v>
      </c>
      <c r="D10" s="14" t="s">
        <v>3</v>
      </c>
      <c r="E10" s="9">
        <v>25027</v>
      </c>
      <c r="F10" s="14" t="s">
        <v>3</v>
      </c>
      <c r="G10" s="1"/>
    </row>
    <row r="11" spans="1:7" x14ac:dyDescent="0.25">
      <c r="A11" s="1"/>
      <c r="B11" s="44" t="s">
        <v>187</v>
      </c>
      <c r="C11" s="12">
        <f>SUM(C10:C10)</f>
        <v>0</v>
      </c>
      <c r="D11" s="13" t="s">
        <v>3</v>
      </c>
      <c r="E11" s="12">
        <f>SUM(E10:E10)</f>
        <v>25027</v>
      </c>
      <c r="F11" s="13" t="s">
        <v>3</v>
      </c>
      <c r="G11" s="1"/>
    </row>
    <row r="12" spans="1:7" x14ac:dyDescent="0.25">
      <c r="A12" s="1"/>
      <c r="B12" s="28" t="s">
        <v>10</v>
      </c>
      <c r="C12" s="29">
        <f>-C11*'Fane 5. Individuelt eff. krav'!G10</f>
        <v>0</v>
      </c>
      <c r="D12" s="30" t="s">
        <v>3</v>
      </c>
      <c r="E12" s="29">
        <f>-E11*'Fane 5. Individuelt eff. krav'!G10</f>
        <v>0</v>
      </c>
      <c r="F12" s="30" t="s">
        <v>3</v>
      </c>
      <c r="G12" s="1"/>
    </row>
    <row r="13" spans="1:7" x14ac:dyDescent="0.25">
      <c r="A13" s="1"/>
      <c r="B13" s="28" t="s">
        <v>191</v>
      </c>
      <c r="C13" s="29">
        <f>-C11*'Fane 15. Nøgletal'!C25</f>
        <v>0</v>
      </c>
      <c r="D13" s="30" t="s">
        <v>3</v>
      </c>
      <c r="E13" s="29">
        <f>-E11*'Fane 15. Nøgletal'!C20</f>
        <v>-710.76679999999999</v>
      </c>
      <c r="F13" s="30" t="s">
        <v>3</v>
      </c>
      <c r="G13" s="1"/>
    </row>
    <row r="14" spans="1:7" x14ac:dyDescent="0.25">
      <c r="A14" s="1"/>
      <c r="B14" s="44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25283.729675022587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184</v>
      </c>
      <c r="C16" s="98"/>
      <c r="D16" s="98"/>
      <c r="E16" s="98"/>
      <c r="F16" s="99"/>
      <c r="G16" s="1"/>
    </row>
    <row r="17" spans="1:7" x14ac:dyDescent="0.25">
      <c r="A17" s="1"/>
      <c r="B17" s="38" t="s">
        <v>25</v>
      </c>
      <c r="C17" s="38" t="s">
        <v>16</v>
      </c>
      <c r="D17" s="39"/>
      <c r="E17" s="38" t="s">
        <v>48</v>
      </c>
      <c r="F17" s="41"/>
      <c r="G17" s="1"/>
    </row>
    <row r="18" spans="1:7" x14ac:dyDescent="0.25">
      <c r="A18" s="1"/>
      <c r="B18" s="26" t="s">
        <v>275</v>
      </c>
      <c r="C18" s="23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4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8" t="s">
        <v>10</v>
      </c>
      <c r="C20" s="29">
        <f>-C19*'Fane 5. Individuelt eff. krav'!G10</f>
        <v>0</v>
      </c>
      <c r="D20" s="30" t="s">
        <v>3</v>
      </c>
      <c r="E20" s="29">
        <f>-E19*'Fane 5. Individuelt eff. krav'!G10</f>
        <v>0</v>
      </c>
      <c r="F20" s="30" t="s">
        <v>3</v>
      </c>
      <c r="G20" s="1"/>
    </row>
    <row r="21" spans="1:7" x14ac:dyDescent="0.25">
      <c r="A21" s="1"/>
      <c r="B21" s="28" t="s">
        <v>191</v>
      </c>
      <c r="C21" s="29">
        <f>-C19*'Fane 15. Nøgletal'!C25</f>
        <v>0</v>
      </c>
      <c r="D21" s="30" t="s">
        <v>3</v>
      </c>
      <c r="E21" s="29">
        <f>-E19*'Fane 15. Nøgletal'!C20</f>
        <v>0</v>
      </c>
      <c r="F21" s="30" t="s">
        <v>3</v>
      </c>
      <c r="G21" s="1"/>
    </row>
    <row r="22" spans="1:7" x14ac:dyDescent="0.25">
      <c r="A22" s="1"/>
      <c r="B22" s="44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185</v>
      </c>
      <c r="C24" s="98"/>
      <c r="D24" s="98"/>
      <c r="E24" s="98"/>
      <c r="F24" s="99"/>
      <c r="G24" s="1"/>
    </row>
    <row r="25" spans="1:7" x14ac:dyDescent="0.25">
      <c r="A25" s="1"/>
      <c r="B25" s="38" t="s">
        <v>25</v>
      </c>
      <c r="C25" s="38" t="s">
        <v>16</v>
      </c>
      <c r="D25" s="39"/>
      <c r="E25" s="38" t="s">
        <v>48</v>
      </c>
      <c r="F25" s="41"/>
      <c r="G25" s="1"/>
    </row>
    <row r="26" spans="1:7" x14ac:dyDescent="0.25">
      <c r="A26" s="1"/>
      <c r="B26" s="26" t="s">
        <v>275</v>
      </c>
      <c r="C26" s="23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4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8" t="s">
        <v>10</v>
      </c>
      <c r="C28" s="29">
        <f>-C27*'Fane 5. Individuelt eff. krav'!G10</f>
        <v>0</v>
      </c>
      <c r="D28" s="30" t="s">
        <v>3</v>
      </c>
      <c r="E28" s="29">
        <f>-E27*'Fane 5. Individuelt eff. krav'!G10</f>
        <v>0</v>
      </c>
      <c r="F28" s="30" t="s">
        <v>3</v>
      </c>
      <c r="G28" s="1"/>
    </row>
    <row r="29" spans="1:7" x14ac:dyDescent="0.25">
      <c r="A29" s="1"/>
      <c r="B29" s="28" t="s">
        <v>191</v>
      </c>
      <c r="C29" s="29">
        <f>-C27*'Fane 15. Nøgletal'!C25</f>
        <v>0</v>
      </c>
      <c r="D29" s="30" t="s">
        <v>3</v>
      </c>
      <c r="E29" s="29">
        <f>-E27*'Fane 15. Nøgletal'!C20</f>
        <v>0</v>
      </c>
      <c r="F29" s="30" t="s">
        <v>3</v>
      </c>
      <c r="G29" s="1"/>
    </row>
    <row r="30" spans="1:7" x14ac:dyDescent="0.25">
      <c r="A30" s="1"/>
      <c r="B30" s="44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186</v>
      </c>
      <c r="C32" s="98"/>
      <c r="D32" s="98"/>
      <c r="E32" s="98"/>
      <c r="F32" s="99"/>
      <c r="G32" s="1"/>
    </row>
    <row r="33" spans="1:7" x14ac:dyDescent="0.25">
      <c r="A33" s="1"/>
      <c r="B33" s="38" t="s">
        <v>25</v>
      </c>
      <c r="C33" s="38" t="s">
        <v>16</v>
      </c>
      <c r="D33" s="39"/>
      <c r="E33" s="38" t="s">
        <v>48</v>
      </c>
      <c r="F33" s="41"/>
      <c r="G33" s="1"/>
    </row>
    <row r="34" spans="1:7" x14ac:dyDescent="0.25">
      <c r="A34" s="1"/>
      <c r="B34" s="26" t="s">
        <v>275</v>
      </c>
      <c r="C34" s="23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4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8" t="s">
        <v>10</v>
      </c>
      <c r="C36" s="29">
        <f>-C35*'Fane 5. Individuelt eff. krav'!G10</f>
        <v>0</v>
      </c>
      <c r="D36" s="30" t="s">
        <v>3</v>
      </c>
      <c r="E36" s="29">
        <f>-E35*'Fane 5. Individuelt eff. krav'!G10</f>
        <v>0</v>
      </c>
      <c r="F36" s="30" t="s">
        <v>3</v>
      </c>
      <c r="G36" s="1"/>
    </row>
    <row r="37" spans="1:7" x14ac:dyDescent="0.25">
      <c r="A37" s="1"/>
      <c r="B37" s="28" t="s">
        <v>191</v>
      </c>
      <c r="C37" s="29">
        <f>-C35*'Fane 15. Nøgletal'!C25</f>
        <v>0</v>
      </c>
      <c r="D37" s="30" t="s">
        <v>3</v>
      </c>
      <c r="E37" s="29">
        <f>-E35*'Fane 15. Nøgletal'!C20</f>
        <v>0</v>
      </c>
      <c r="F37" s="30" t="s">
        <v>3</v>
      </c>
      <c r="G37" s="1"/>
    </row>
    <row r="38" spans="1:7" x14ac:dyDescent="0.25">
      <c r="A38" s="1"/>
      <c r="B38" s="44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5KyflYOp12hBfkTZYHtUuO6gyaqsPofuEYI9IefDH2XJXVMaHVd3oFB/uZBBbubrP50HejuM7cYnh40DxVAng==" saltValue="AZsoKnmhm0Ui7CeXFqlj2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243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0"/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158</v>
      </c>
      <c r="C8" s="98"/>
      <c r="D8" s="98"/>
      <c r="E8" s="98"/>
      <c r="F8" s="99"/>
      <c r="G8" s="1"/>
    </row>
    <row r="9" spans="1:7" x14ac:dyDescent="0.25">
      <c r="A9" s="1"/>
      <c r="B9" s="118" t="s">
        <v>157</v>
      </c>
      <c r="C9" s="119"/>
      <c r="D9" s="120"/>
      <c r="E9" s="9">
        <v>79483</v>
      </c>
      <c r="F9" s="14" t="s">
        <v>3</v>
      </c>
      <c r="G9" s="1"/>
    </row>
    <row r="10" spans="1:7" x14ac:dyDescent="0.25">
      <c r="A10" s="1"/>
      <c r="B10" s="121" t="s">
        <v>10</v>
      </c>
      <c r="C10" s="122"/>
      <c r="D10" s="123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21" t="s">
        <v>39</v>
      </c>
      <c r="C11" s="122"/>
      <c r="D11" s="123"/>
      <c r="E11" s="9">
        <f>-E9*'Fane 15. Nøgletal'!C25</f>
        <v>-1589.66</v>
      </c>
      <c r="F11" s="14" t="s">
        <v>3</v>
      </c>
      <c r="G11" s="1"/>
    </row>
    <row r="12" spans="1:7" x14ac:dyDescent="0.25">
      <c r="A12" s="1"/>
      <c r="B12" s="97" t="s">
        <v>162</v>
      </c>
      <c r="C12" s="98"/>
      <c r="D12" s="99"/>
      <c r="E12" s="12">
        <f>SUM(E9:E11)*(1+'Fane 15. Nøgletal'!C10)^2</f>
        <v>80643.461735375007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159</v>
      </c>
      <c r="C14" s="98"/>
      <c r="D14" s="98"/>
      <c r="E14" s="98"/>
      <c r="F14" s="99"/>
      <c r="G14" s="1"/>
    </row>
    <row r="15" spans="1:7" x14ac:dyDescent="0.25">
      <c r="A15" s="1"/>
      <c r="B15" s="118" t="s">
        <v>157</v>
      </c>
      <c r="C15" s="119"/>
      <c r="D15" s="120"/>
      <c r="E15" s="9">
        <v>79483.046683046661</v>
      </c>
      <c r="F15" s="14" t="s">
        <v>3</v>
      </c>
      <c r="G15" s="1"/>
    </row>
    <row r="16" spans="1:7" x14ac:dyDescent="0.25">
      <c r="A16" s="1"/>
      <c r="B16" s="121" t="s">
        <v>10</v>
      </c>
      <c r="C16" s="122"/>
      <c r="D16" s="123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21" t="s">
        <v>39</v>
      </c>
      <c r="C17" s="122"/>
      <c r="D17" s="123"/>
      <c r="E17" s="9">
        <f>-E15*'Fane 15. Nøgletal'!C25</f>
        <v>-1589.6609336609333</v>
      </c>
      <c r="F17" s="14" t="s">
        <v>3</v>
      </c>
      <c r="G17" s="1"/>
    </row>
    <row r="18" spans="1:7" x14ac:dyDescent="0.25">
      <c r="A18" s="1"/>
      <c r="B18" s="97" t="s">
        <v>163</v>
      </c>
      <c r="C18" s="98"/>
      <c r="D18" s="99"/>
      <c r="E18" s="12">
        <f>SUM(E15:E17)*(1+'Fane 15. Nøgletal'!C10)^3</f>
        <v>82054.770509249982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160</v>
      </c>
      <c r="C20" s="98"/>
      <c r="D20" s="98"/>
      <c r="E20" s="98"/>
      <c r="F20" s="99"/>
      <c r="G20" s="1"/>
    </row>
    <row r="21" spans="1:7" x14ac:dyDescent="0.25">
      <c r="A21" s="1"/>
      <c r="B21" s="118" t="s">
        <v>157</v>
      </c>
      <c r="C21" s="119"/>
      <c r="D21" s="120"/>
      <c r="E21" s="9">
        <v>76817.978737500001</v>
      </c>
      <c r="F21" s="14" t="s">
        <v>3</v>
      </c>
      <c r="G21" s="1"/>
    </row>
    <row r="22" spans="1:7" x14ac:dyDescent="0.25">
      <c r="A22" s="1"/>
      <c r="B22" s="121" t="s">
        <v>10</v>
      </c>
      <c r="C22" s="122"/>
      <c r="D22" s="123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21" t="s">
        <v>39</v>
      </c>
      <c r="C23" s="122"/>
      <c r="D23" s="123"/>
      <c r="E23" s="9">
        <f>-E21*'Fane 15. Nøgletal'!C25</f>
        <v>-1536.3595747500001</v>
      </c>
      <c r="F23" s="14" t="s">
        <v>3</v>
      </c>
      <c r="G23" s="1"/>
    </row>
    <row r="24" spans="1:7" x14ac:dyDescent="0.25">
      <c r="A24" s="1"/>
      <c r="B24" s="97" t="s">
        <v>164</v>
      </c>
      <c r="C24" s="98"/>
      <c r="D24" s="99"/>
      <c r="E24" s="12">
        <f>SUM(E21:E23)*(1+'Fane 15. Nøgletal'!C12)^4</f>
        <v>81391.420576948483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161</v>
      </c>
      <c r="C26" s="98"/>
      <c r="D26" s="98"/>
      <c r="E26" s="98"/>
      <c r="F26" s="99"/>
      <c r="G26" s="1"/>
    </row>
    <row r="27" spans="1:7" x14ac:dyDescent="0.25">
      <c r="A27" s="1"/>
      <c r="B27" s="118" t="s">
        <v>157</v>
      </c>
      <c r="C27" s="119"/>
      <c r="D27" s="120"/>
      <c r="E27" s="9">
        <v>76817.978737500001</v>
      </c>
      <c r="F27" s="14" t="s">
        <v>3</v>
      </c>
      <c r="G27" s="1"/>
    </row>
    <row r="28" spans="1:7" x14ac:dyDescent="0.25">
      <c r="A28" s="1"/>
      <c r="B28" s="121" t="s">
        <v>10</v>
      </c>
      <c r="C28" s="122"/>
      <c r="D28" s="123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21" t="s">
        <v>39</v>
      </c>
      <c r="C29" s="122"/>
      <c r="D29" s="123"/>
      <c r="E29" s="9">
        <f>-E27*'Fane 15. Nøgletal'!C25</f>
        <v>-1536.3595747500001</v>
      </c>
      <c r="F29" s="14" t="s">
        <v>3</v>
      </c>
      <c r="G29" s="1"/>
    </row>
    <row r="30" spans="1:7" x14ac:dyDescent="0.25">
      <c r="A30" s="1"/>
      <c r="B30" s="97" t="s">
        <v>165</v>
      </c>
      <c r="C30" s="98"/>
      <c r="D30" s="99"/>
      <c r="E30" s="12">
        <f>SUM(E27:E29)*(1+'Fane 15. Nøgletal'!C12)^5</f>
        <v>82994.831562314372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yV96SkomzJfxin6/3OQjpMOvIirS6zwk+g4uyV4ag4zc5kUtcKk6uZmSb/IHQSP6ywk7+lbH2IDGfbjI/ZcUA==" saltValue="ls7CiUGhzf32wDueGzgVbQ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229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32</v>
      </c>
      <c r="C8" s="98"/>
      <c r="D8" s="98"/>
      <c r="E8" s="98"/>
      <c r="F8" s="99"/>
      <c r="G8" s="1"/>
    </row>
    <row r="9" spans="1:7" ht="15" customHeight="1" x14ac:dyDescent="0.25">
      <c r="A9" s="1"/>
      <c r="B9" s="40" t="s">
        <v>33</v>
      </c>
      <c r="C9" s="84" t="s">
        <v>16</v>
      </c>
      <c r="D9" s="86"/>
      <c r="E9" s="87" t="s">
        <v>48</v>
      </c>
      <c r="F9" s="89"/>
      <c r="G9" s="1"/>
    </row>
    <row r="10" spans="1:7" x14ac:dyDescent="0.25">
      <c r="A10" s="1"/>
      <c r="B10" s="26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2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2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OCUZo/iJJJAxzYc72P/YCoyPIeBrC9s8dK5hSCIwshYhGkYdBjkNjnpy9NW9Ix6m1sl03xjlA8QTpuwjy22Hw==" saltValue="rMbE5BLYaRT6HJjHK5mMS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227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167</v>
      </c>
      <c r="C8" s="98"/>
      <c r="D8" s="98"/>
      <c r="E8" s="98"/>
      <c r="F8" s="99"/>
      <c r="G8" s="1"/>
    </row>
    <row r="9" spans="1:7" ht="15" customHeight="1" x14ac:dyDescent="0.25">
      <c r="A9" s="1"/>
      <c r="B9" s="40" t="s">
        <v>26</v>
      </c>
      <c r="C9" s="40" t="s">
        <v>16</v>
      </c>
      <c r="D9" s="41"/>
      <c r="E9" s="40" t="s">
        <v>48</v>
      </c>
      <c r="F9" s="41"/>
      <c r="G9" s="1"/>
    </row>
    <row r="10" spans="1:7" x14ac:dyDescent="0.25">
      <c r="A10" s="1"/>
      <c r="B10" s="26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168</v>
      </c>
      <c r="C14" s="98"/>
      <c r="D14" s="98"/>
      <c r="E14" s="98"/>
      <c r="F14" s="99"/>
      <c r="G14" s="1"/>
    </row>
    <row r="15" spans="1:7" ht="26.25" x14ac:dyDescent="0.25">
      <c r="A15" s="1"/>
      <c r="B15" s="40" t="s">
        <v>26</v>
      </c>
      <c r="C15" s="40" t="s">
        <v>16</v>
      </c>
      <c r="D15" s="41"/>
      <c r="E15" s="40" t="s">
        <v>48</v>
      </c>
      <c r="F15" s="41"/>
      <c r="G15" s="1"/>
    </row>
    <row r="16" spans="1:7" x14ac:dyDescent="0.25">
      <c r="A16" s="1"/>
      <c r="B16" s="26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4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4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166</v>
      </c>
      <c r="C20" s="98"/>
      <c r="D20" s="98"/>
      <c r="E20" s="98"/>
      <c r="F20" s="99"/>
      <c r="G20" s="1"/>
    </row>
    <row r="21" spans="1:7" ht="26.25" x14ac:dyDescent="0.25">
      <c r="A21" s="1"/>
      <c r="B21" s="40" t="s">
        <v>26</v>
      </c>
      <c r="C21" s="40" t="s">
        <v>16</v>
      </c>
      <c r="D21" s="41"/>
      <c r="E21" s="40" t="s">
        <v>48</v>
      </c>
      <c r="F21" s="41"/>
      <c r="G21" s="1"/>
    </row>
    <row r="22" spans="1:7" x14ac:dyDescent="0.25">
      <c r="A22" s="1"/>
      <c r="B22" s="26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4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4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169</v>
      </c>
      <c r="C26" s="98"/>
      <c r="D26" s="98"/>
      <c r="E26" s="98"/>
      <c r="F26" s="99"/>
      <c r="G26" s="1"/>
    </row>
    <row r="27" spans="1:7" ht="26.25" x14ac:dyDescent="0.25">
      <c r="A27" s="1"/>
      <c r="B27" s="40" t="s">
        <v>26</v>
      </c>
      <c r="C27" s="40" t="s">
        <v>16</v>
      </c>
      <c r="D27" s="41"/>
      <c r="E27" s="40" t="s">
        <v>48</v>
      </c>
      <c r="F27" s="41"/>
      <c r="G27" s="1"/>
    </row>
    <row r="28" spans="1:7" x14ac:dyDescent="0.25">
      <c r="A28" s="1"/>
      <c r="B28" s="26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4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4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7uSLBYZEIO83Toh05rlod8holV2GrQ9q0o+vWwd0vRWql3nSVpU56VkcT771jLJK1MkIUau91Dw8DDajL8WFA==" saltValue="kJNpIYUBWww24oUYY6wzC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18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12</v>
      </c>
      <c r="C9" s="104"/>
      <c r="D9" s="104"/>
      <c r="E9" s="104"/>
      <c r="F9" s="105"/>
      <c r="G9" s="9">
        <v>1695648</v>
      </c>
      <c r="H9" s="14" t="s">
        <v>3</v>
      </c>
      <c r="I9" s="1"/>
    </row>
    <row r="10" spans="1:9" x14ac:dyDescent="0.25">
      <c r="A10" s="1"/>
      <c r="B10" s="103" t="s">
        <v>135</v>
      </c>
      <c r="C10" s="104"/>
      <c r="D10" s="104"/>
      <c r="E10" s="104"/>
      <c r="F10" s="105"/>
      <c r="G10" s="9">
        <v>0</v>
      </c>
      <c r="H10" s="14" t="s">
        <v>3</v>
      </c>
      <c r="I10" s="1"/>
    </row>
    <row r="11" spans="1:9" x14ac:dyDescent="0.25">
      <c r="A11" s="1"/>
      <c r="B11" s="103" t="s">
        <v>78</v>
      </c>
      <c r="C11" s="104"/>
      <c r="D11" s="104"/>
      <c r="E11" s="104"/>
      <c r="F11" s="105"/>
      <c r="G11" s="9">
        <v>-1695647.5666666664</v>
      </c>
      <c r="H11" s="14" t="s">
        <v>3</v>
      </c>
      <c r="I11" s="1"/>
    </row>
    <row r="12" spans="1:9" x14ac:dyDescent="0.25">
      <c r="A12" s="1"/>
      <c r="B12" s="124" t="s">
        <v>15</v>
      </c>
      <c r="C12" s="125"/>
      <c r="D12" s="125"/>
      <c r="E12" s="125"/>
      <c r="F12" s="126"/>
      <c r="G12" s="19">
        <f>(G9+G10)+G11</f>
        <v>0.43333333358168602</v>
      </c>
      <c r="H12" s="18" t="s">
        <v>3</v>
      </c>
      <c r="I12" s="1"/>
    </row>
    <row r="13" spans="1:9" x14ac:dyDescent="0.25">
      <c r="A13" s="1"/>
      <c r="B13" s="103" t="s">
        <v>13</v>
      </c>
      <c r="C13" s="104"/>
      <c r="D13" s="104"/>
      <c r="E13" s="104"/>
      <c r="F13" s="105"/>
      <c r="G13" s="9">
        <v>0</v>
      </c>
      <c r="H13" s="14" t="s">
        <v>28</v>
      </c>
      <c r="I13" s="1"/>
    </row>
    <row r="14" spans="1:9" x14ac:dyDescent="0.25">
      <c r="A14" s="1"/>
      <c r="B14" s="97" t="s">
        <v>136</v>
      </c>
      <c r="C14" s="98"/>
      <c r="D14" s="98"/>
      <c r="E14" s="98"/>
      <c r="F14" s="99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dB4/0jtnB3iPK1KdO9+ns00kwDnP1WtcW3PKSeBEOktGnKSZvE8MDD7if/RIPLihZ06o2g1UGJNDt42nASJMg==" saltValue="2zScrGgmxrVku01g2w2si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46"/>
      <c r="E8" s="1"/>
    </row>
    <row r="9" spans="1:5" x14ac:dyDescent="0.25">
      <c r="A9" s="1"/>
      <c r="B9" s="43" t="s">
        <v>35</v>
      </c>
      <c r="C9" s="7">
        <f>'Fane 3. Omkostninger i ØR2019'!E20</f>
        <v>13972807.68810994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66015.735798429188</v>
      </c>
      <c r="D11" s="8" t="s">
        <v>3</v>
      </c>
      <c r="E11" s="1"/>
    </row>
    <row r="12" spans="1:5" ht="17.100000000000001" customHeight="1" x14ac:dyDescent="0.25">
      <c r="A12" s="1"/>
      <c r="B12" s="50" t="s">
        <v>64</v>
      </c>
      <c r="C12" s="7">
        <f>'Fane 10.1. Varige tillæg'!C13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65</v>
      </c>
      <c r="C13" s="9">
        <f>'Fane 10.1. Varige tillæg'!E13</f>
        <v>603987.6032338501</v>
      </c>
      <c r="D13" s="8" t="s">
        <v>3</v>
      </c>
      <c r="E13" s="1"/>
    </row>
    <row r="14" spans="1:5" ht="17.100000000000001" customHeight="1" x14ac:dyDescent="0.25">
      <c r="A14" s="1"/>
      <c r="B14" s="50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0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0" t="s">
        <v>27</v>
      </c>
      <c r="C18" s="9">
        <f>(C9-SUM(C10:C11))*'Fane 15. Nøgletal'!C10+SUM(C10:C11)*'Fane 15. Nøgletal'!C11+SUM('Fane 2.1. Økonomisk ramme 2020'!C12:C17)*'Fane 15. Nøgletal'!C12</f>
        <v>256383.08088415174</v>
      </c>
      <c r="D18" s="8" t="s">
        <v>3</v>
      </c>
      <c r="E18" s="1"/>
    </row>
    <row r="19" spans="1:5" ht="17.100000000000001" customHeight="1" x14ac:dyDescent="0.25">
      <c r="A19" s="1"/>
      <c r="B19" s="50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0" t="s">
        <v>39</v>
      </c>
      <c r="C20" s="9">
        <f>-'Fane 4.1. Gen. krav - drift'!G28</f>
        <v>-187490.05325097899</v>
      </c>
      <c r="D20" s="8" t="s">
        <v>3</v>
      </c>
      <c r="E20" s="1"/>
    </row>
    <row r="21" spans="1:5" ht="17.100000000000001" customHeight="1" x14ac:dyDescent="0.25">
      <c r="A21" s="1"/>
      <c r="B21" s="50" t="s">
        <v>40</v>
      </c>
      <c r="C21" s="9">
        <f>-'Fane 4.2. Gen. krav - anlæg'!G26</f>
        <v>-102510.51414394256</v>
      </c>
      <c r="D21" s="8" t="s">
        <v>3</v>
      </c>
      <c r="E21" s="1"/>
    </row>
    <row r="22" spans="1:5" ht="17.100000000000001" customHeight="1" x14ac:dyDescent="0.25">
      <c r="A22" s="1"/>
      <c r="B22" s="35" t="s">
        <v>29</v>
      </c>
      <c r="C22" s="10">
        <f>SUM(C9,C12:C21)</f>
        <v>14543177.804833019</v>
      </c>
      <c r="D22" s="11" t="s">
        <v>3</v>
      </c>
      <c r="E22" s="1"/>
    </row>
    <row r="23" spans="1:5" ht="15" customHeight="1" x14ac:dyDescent="0.25">
      <c r="A23" s="1"/>
      <c r="B23" s="44" t="s">
        <v>17</v>
      </c>
      <c r="C23" s="45"/>
      <c r="D23" s="46"/>
      <c r="E23" s="1"/>
    </row>
    <row r="24" spans="1:5" ht="15" customHeight="1" x14ac:dyDescent="0.25">
      <c r="A24" s="1"/>
      <c r="B24" s="40" t="s">
        <v>17</v>
      </c>
      <c r="C24" s="10">
        <f>'Fane 6. Ikke-påvirkelige omk.'!C14+'Fane 6. Ikke-påvirkelige omk.'!C18+'Fane 6. Ikke-påvirkelige omk.'!C26</f>
        <v>3246697.7592894901</v>
      </c>
      <c r="D24" s="11" t="s">
        <v>3</v>
      </c>
      <c r="E24" s="1"/>
    </row>
    <row r="25" spans="1:5" ht="15" customHeight="1" x14ac:dyDescent="0.25">
      <c r="A25" s="1"/>
      <c r="B25" s="44" t="s">
        <v>143</v>
      </c>
      <c r="C25" s="45"/>
      <c r="D25" s="46"/>
      <c r="E25" s="1"/>
    </row>
    <row r="26" spans="1:5" ht="15" customHeight="1" x14ac:dyDescent="0.25">
      <c r="A26" s="1"/>
      <c r="B26" s="35" t="s">
        <v>143</v>
      </c>
      <c r="C26" s="10">
        <f>'Fane 11. Periodevise driftsomk.'!E12</f>
        <v>80643.461735375007</v>
      </c>
      <c r="D26" s="11" t="s">
        <v>3</v>
      </c>
      <c r="E26" s="1"/>
    </row>
    <row r="27" spans="1:5" ht="15" customHeight="1" x14ac:dyDescent="0.25">
      <c r="A27" s="1"/>
      <c r="B27" s="44" t="s">
        <v>142</v>
      </c>
      <c r="C27" s="45"/>
      <c r="D27" s="46"/>
      <c r="E27" s="1"/>
    </row>
    <row r="28" spans="1:5" ht="15" customHeight="1" x14ac:dyDescent="0.25">
      <c r="A28" s="1"/>
      <c r="B28" s="50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0" t="s">
        <v>139</v>
      </c>
      <c r="C29" s="9">
        <f>'Fane 10.2. Engangstillæg'!E14</f>
        <v>25283.729675022587</v>
      </c>
      <c r="D29" s="8" t="s">
        <v>3</v>
      </c>
      <c r="E29" s="1"/>
    </row>
    <row r="30" spans="1:5" x14ac:dyDescent="0.25">
      <c r="A30" s="1"/>
      <c r="B30" s="35" t="s">
        <v>145</v>
      </c>
      <c r="C30" s="10">
        <f>SUM(C28:C29)</f>
        <v>25283.729675022587</v>
      </c>
      <c r="D30" s="11" t="s">
        <v>3</v>
      </c>
      <c r="E30" s="1"/>
    </row>
    <row r="31" spans="1:5" x14ac:dyDescent="0.25">
      <c r="A31" s="1"/>
      <c r="B31" s="44" t="s">
        <v>11</v>
      </c>
      <c r="C31" s="45"/>
      <c r="D31" s="46"/>
      <c r="E31" s="1"/>
    </row>
    <row r="32" spans="1:5" ht="15" customHeight="1" x14ac:dyDescent="0.25">
      <c r="A32" s="1"/>
      <c r="B32" s="40" t="s">
        <v>19</v>
      </c>
      <c r="C32" s="10">
        <f>'Fane 14. Hist. over-underdæk.'!G14</f>
        <v>0</v>
      </c>
      <c r="D32" s="11" t="s">
        <v>3</v>
      </c>
      <c r="E32" s="1"/>
    </row>
    <row r="33" spans="1:5" ht="15" customHeight="1" x14ac:dyDescent="0.25">
      <c r="A33" s="1"/>
      <c r="B33" s="44" t="s">
        <v>258</v>
      </c>
      <c r="C33" s="45"/>
      <c r="D33" s="46"/>
      <c r="E33" s="1"/>
    </row>
    <row r="34" spans="1:5" x14ac:dyDescent="0.25">
      <c r="A34" s="1"/>
      <c r="B34" s="40" t="s">
        <v>259</v>
      </c>
      <c r="C34" s="10">
        <f>'Fane 8. Korrektioner'!E20</f>
        <v>-145872.94600274996</v>
      </c>
      <c r="D34" s="11" t="s">
        <v>3</v>
      </c>
      <c r="E34" s="1"/>
    </row>
    <row r="35" spans="1:5" x14ac:dyDescent="0.25">
      <c r="A35" s="1"/>
      <c r="B35" s="44" t="s">
        <v>268</v>
      </c>
      <c r="C35" s="45"/>
      <c r="D35" s="46"/>
      <c r="E35" s="1"/>
    </row>
    <row r="36" spans="1:5" x14ac:dyDescent="0.25">
      <c r="A36" s="1"/>
      <c r="B36" s="37" t="s">
        <v>269</v>
      </c>
      <c r="C36" s="10">
        <v>-1000000</v>
      </c>
      <c r="D36" s="11" t="s">
        <v>3</v>
      </c>
      <c r="E36" s="1"/>
    </row>
    <row r="37" spans="1:5" x14ac:dyDescent="0.25">
      <c r="A37" s="1"/>
      <c r="B37" s="44" t="s">
        <v>270</v>
      </c>
      <c r="C37" s="45"/>
      <c r="D37" s="46"/>
      <c r="E37" s="1"/>
    </row>
    <row r="38" spans="1:5" x14ac:dyDescent="0.25">
      <c r="A38" s="1"/>
      <c r="B38" s="37" t="s">
        <v>267</v>
      </c>
      <c r="C38" s="10">
        <v>1486000</v>
      </c>
      <c r="D38" s="11" t="s">
        <v>3</v>
      </c>
      <c r="E38" s="1"/>
    </row>
    <row r="39" spans="1:5" x14ac:dyDescent="0.25">
      <c r="A39" s="1"/>
      <c r="B39" s="44" t="s">
        <v>36</v>
      </c>
      <c r="C39" s="12">
        <f>SUM(C22,C24,C26,C30,C32,C34,C36,C38)</f>
        <v>18235929.809530154</v>
      </c>
      <c r="D39" s="13" t="s">
        <v>3</v>
      </c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ZfXgE6vcaRJulgZ/0dGtnlwOTT36ADlrayAOjtqF3Zb0ir2z8U060qNsk96RuCwgOPoFHggeDFc2xRM8mHvXA==" saltValue="1xzs781xSkfk2X5fv9BSV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208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21</v>
      </c>
      <c r="C8" s="46"/>
      <c r="D8" s="1"/>
    </row>
    <row r="9" spans="1:4" x14ac:dyDescent="0.25">
      <c r="A9" s="1"/>
      <c r="B9" s="47" t="s">
        <v>236</v>
      </c>
      <c r="C9" s="27">
        <v>1.2699999999999999E-2</v>
      </c>
      <c r="D9" s="1"/>
    </row>
    <row r="10" spans="1:4" x14ac:dyDescent="0.25">
      <c r="A10" s="1"/>
      <c r="B10" s="47" t="s">
        <v>237</v>
      </c>
      <c r="C10" s="27">
        <v>1.7500000000000002E-2</v>
      </c>
      <c r="D10" s="1"/>
    </row>
    <row r="11" spans="1:4" x14ac:dyDescent="0.25">
      <c r="A11" s="1"/>
      <c r="B11" s="47" t="s">
        <v>31</v>
      </c>
      <c r="C11" s="27">
        <v>1.6899999999999998E-2</v>
      </c>
      <c r="D11" s="1"/>
    </row>
    <row r="12" spans="1:4" x14ac:dyDescent="0.25">
      <c r="A12" s="1"/>
      <c r="B12" s="31" t="s">
        <v>70</v>
      </c>
      <c r="C12" s="32">
        <v>1.9699999999999999E-2</v>
      </c>
      <c r="D12" s="1"/>
    </row>
    <row r="13" spans="1:4" x14ac:dyDescent="0.25">
      <c r="A13" s="1"/>
      <c r="B13" s="44"/>
      <c r="C13" s="46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204</v>
      </c>
      <c r="C16" s="46"/>
      <c r="D16" s="1"/>
    </row>
    <row r="17" spans="1:4" x14ac:dyDescent="0.25">
      <c r="A17" s="1"/>
      <c r="B17" s="47" t="s">
        <v>238</v>
      </c>
      <c r="C17" s="24">
        <v>9.1000000000000004E-3</v>
      </c>
      <c r="D17" s="1"/>
    </row>
    <row r="18" spans="1:4" x14ac:dyDescent="0.25">
      <c r="A18" s="1"/>
      <c r="B18" s="47" t="s">
        <v>240</v>
      </c>
      <c r="C18" s="24">
        <v>1.77E-2</v>
      </c>
      <c r="D18" s="1"/>
    </row>
    <row r="19" spans="1:4" x14ac:dyDescent="0.25">
      <c r="A19" s="1"/>
      <c r="B19" s="47" t="s">
        <v>239</v>
      </c>
      <c r="C19" s="24">
        <v>8.6999999999999994E-3</v>
      </c>
      <c r="D19" s="1"/>
    </row>
    <row r="20" spans="1:4" x14ac:dyDescent="0.25">
      <c r="A20" s="1"/>
      <c r="B20" s="47" t="s">
        <v>241</v>
      </c>
      <c r="C20" s="33">
        <v>2.8400000000000002E-2</v>
      </c>
      <c r="D20" s="1"/>
    </row>
    <row r="21" spans="1:4" x14ac:dyDescent="0.25">
      <c r="A21" s="1"/>
      <c r="B21" s="44"/>
      <c r="C21" s="46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4" t="s">
        <v>203</v>
      </c>
      <c r="C24" s="46"/>
      <c r="D24" s="1"/>
    </row>
    <row r="25" spans="1:4" x14ac:dyDescent="0.25">
      <c r="A25" s="1"/>
      <c r="B25" s="47" t="s">
        <v>242</v>
      </c>
      <c r="C25" s="27">
        <v>0.02</v>
      </c>
      <c r="D25" s="1"/>
    </row>
    <row r="26" spans="1:4" x14ac:dyDescent="0.25">
      <c r="A26" s="1"/>
      <c r="B26" s="44"/>
      <c r="C26" s="46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nWkUiCxvjGWD0dfPG5YP9TRJo894BaRWtq4V9T8PnYrB9YUlvPm8tJqgiucGUtc78bz1KLh1NPdFf1FA9kbBKw==" saltValue="1rZnqSoJrwDcoPWNA1pJe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46"/>
      <c r="E8" s="1"/>
    </row>
    <row r="9" spans="1:5" ht="15" customHeight="1" x14ac:dyDescent="0.25">
      <c r="A9" s="1"/>
      <c r="B9" s="43" t="s">
        <v>37</v>
      </c>
      <c r="C9" s="7">
        <f>'Fane 2.1. Økonomisk ramme 2020'!C22</f>
        <v>14543177.804833019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66547.358538341854</v>
      </c>
      <c r="D11" s="8" t="s">
        <v>3</v>
      </c>
      <c r="E11" s="1"/>
    </row>
    <row r="12" spans="1:5" ht="15" customHeight="1" x14ac:dyDescent="0.2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0</v>
      </c>
      <c r="D12" s="8" t="s">
        <v>3</v>
      </c>
      <c r="E12" s="1"/>
    </row>
    <row r="13" spans="1:5" ht="15" customHeight="1" x14ac:dyDescent="0.2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598394.99210145837</v>
      </c>
      <c r="D13" s="8" t="s">
        <v>3</v>
      </c>
      <c r="E13" s="1"/>
    </row>
    <row r="14" spans="1:5" ht="15" customHeight="1" x14ac:dyDescent="0.25">
      <c r="A14" s="1"/>
      <c r="B14" s="50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0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36" t="s">
        <v>27</v>
      </c>
      <c r="C16" s="9">
        <f>(C9-SUM(C10:C13))*'Fane 15. Nøgletal'!C10+SUM(C10:C11)*'Fane 15. Nøgletal'!C11+SUM(C12:C15)*'Fane 15. Nøgletal'!C12</f>
        <v>255782.15215207808</v>
      </c>
      <c r="D16" s="8" t="s">
        <v>3</v>
      </c>
      <c r="E16" s="1"/>
    </row>
    <row r="17" spans="1:5" ht="15" customHeight="1" x14ac:dyDescent="0.25">
      <c r="A17" s="1"/>
      <c r="B17" s="36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6" t="s">
        <v>39</v>
      </c>
      <c r="C18" s="9">
        <f>-'Fane 4.1. Gen. krav - drift'!G36</f>
        <v>-186955.70659921371</v>
      </c>
      <c r="D18" s="8" t="s">
        <v>3</v>
      </c>
      <c r="E18" s="1"/>
    </row>
    <row r="19" spans="1:5" ht="15" customHeight="1" x14ac:dyDescent="0.25">
      <c r="A19" s="1"/>
      <c r="B19" s="36" t="s">
        <v>40</v>
      </c>
      <c r="C19" s="9">
        <f>-'Fane 4.2. Gen. krav - anlæg'!G34</f>
        <v>-102310.21741980428</v>
      </c>
      <c r="D19" s="8" t="s">
        <v>3</v>
      </c>
      <c r="E19" s="1"/>
    </row>
    <row r="20" spans="1:5" ht="15" customHeight="1" x14ac:dyDescent="0.25">
      <c r="A20" s="1"/>
      <c r="B20" s="37" t="s">
        <v>29</v>
      </c>
      <c r="C20" s="10">
        <f>SUM(C9,C14:C19)</f>
        <v>14509694.032966079</v>
      </c>
      <c r="D20" s="11" t="s">
        <v>3</v>
      </c>
      <c r="E20" s="1"/>
    </row>
    <row r="21" spans="1:5" x14ac:dyDescent="0.25">
      <c r="A21" s="1"/>
      <c r="B21" s="44" t="s">
        <v>17</v>
      </c>
      <c r="C21" s="45"/>
      <c r="D21" s="46"/>
      <c r="E21" s="1"/>
    </row>
    <row r="22" spans="1:5" ht="15" customHeight="1" x14ac:dyDescent="0.25">
      <c r="A22" s="1"/>
      <c r="B22" s="40" t="s">
        <v>17</v>
      </c>
      <c r="C22" s="10">
        <f>'Fane 6. Ikke-påvirkelige omk.'!C14*(1+'Fane 15. Nøgletal'!C12)+'Fane 6. Ikke-påvirkelige omk.'!C19+'Fane 6. Ikke-påvirkelige omk.'!C27</f>
        <v>3310657.7051474932</v>
      </c>
      <c r="D22" s="11" t="s">
        <v>3</v>
      </c>
      <c r="E22" s="1"/>
    </row>
    <row r="23" spans="1:5" ht="15" customHeight="1" x14ac:dyDescent="0.25">
      <c r="A23" s="1"/>
      <c r="B23" s="44" t="s">
        <v>143</v>
      </c>
      <c r="C23" s="45"/>
      <c r="D23" s="46"/>
      <c r="E23" s="1"/>
    </row>
    <row r="24" spans="1:5" ht="15" customHeight="1" x14ac:dyDescent="0.25">
      <c r="A24" s="1"/>
      <c r="B24" s="35" t="s">
        <v>144</v>
      </c>
      <c r="C24" s="10">
        <f>'Fane 11. Periodevise driftsomk.'!E18</f>
        <v>82054.770509249982</v>
      </c>
      <c r="D24" s="11" t="s">
        <v>3</v>
      </c>
      <c r="E24" s="1"/>
    </row>
    <row r="25" spans="1:5" ht="15" customHeight="1" x14ac:dyDescent="0.25">
      <c r="A25" s="1"/>
      <c r="B25" s="44" t="s">
        <v>142</v>
      </c>
      <c r="C25" s="45"/>
      <c r="D25" s="46"/>
      <c r="E25" s="1"/>
    </row>
    <row r="26" spans="1:5" ht="15" customHeight="1" x14ac:dyDescent="0.25">
      <c r="A26" s="1"/>
      <c r="B26" s="50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0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35" t="s">
        <v>145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44" t="s">
        <v>270</v>
      </c>
      <c r="C29" s="45"/>
      <c r="D29" s="46"/>
      <c r="E29" s="1"/>
    </row>
    <row r="30" spans="1:5" ht="15" customHeight="1" x14ac:dyDescent="0.25">
      <c r="A30" s="1"/>
      <c r="B30" s="37" t="s">
        <v>267</v>
      </c>
      <c r="C30" s="10">
        <v>1924000</v>
      </c>
      <c r="D30" s="11" t="s">
        <v>3</v>
      </c>
      <c r="E30" s="1"/>
    </row>
    <row r="31" spans="1:5" x14ac:dyDescent="0.25">
      <c r="A31" s="1"/>
      <c r="B31" s="44" t="s">
        <v>45</v>
      </c>
      <c r="C31" s="12">
        <f>SUM(C20,C22,C24,C28,C30)</f>
        <v>19826406.508622821</v>
      </c>
      <c r="D31" s="13" t="s">
        <v>3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</sheetData>
  <sheetProtection algorithmName="SHA-512" hashValue="75DXsnWyC1uou4zNSoITEUhDOmyuCi4CdSXymvHH+Mm8fc3klGQH5lU8I7vKK/BtcP4o5NiRx4gCJq4hvxIy/w==" saltValue="B1Jd/ZU8ms1ziaJjrQyxZ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46"/>
      <c r="E7" s="1"/>
    </row>
    <row r="8" spans="1:5" ht="15" customHeight="1" x14ac:dyDescent="0.25">
      <c r="A8" s="1"/>
      <c r="B8" s="43" t="s">
        <v>38</v>
      </c>
      <c r="C8" s="7">
        <f>'Fane 2.2. Økonomisk ramme 2021'!C20</f>
        <v>14509694.032966079</v>
      </c>
      <c r="D8" s="8" t="s">
        <v>3</v>
      </c>
      <c r="E8" s="1"/>
    </row>
    <row r="9" spans="1:5" ht="15" customHeight="1" x14ac:dyDescent="0.25">
      <c r="A9" s="1"/>
      <c r="B9" s="43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3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36" t="s">
        <v>27</v>
      </c>
      <c r="C11" s="9">
        <f>SUM(C8:C10)*'Fane 15. Nøgletal'!C12</f>
        <v>285840.97244943172</v>
      </c>
      <c r="D11" s="8" t="s">
        <v>3</v>
      </c>
      <c r="E11" s="1"/>
    </row>
    <row r="12" spans="1:5" ht="15" customHeight="1" x14ac:dyDescent="0.25">
      <c r="A12" s="1"/>
      <c r="B12" s="36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6" t="s">
        <v>39</v>
      </c>
      <c r="C13" s="9">
        <f>-'Fane 4.1. Gen. krav - drift'!G42</f>
        <v>-186825.95933883387</v>
      </c>
      <c r="D13" s="8" t="s">
        <v>3</v>
      </c>
      <c r="E13" s="1"/>
    </row>
    <row r="14" spans="1:5" ht="15" customHeight="1" x14ac:dyDescent="0.25">
      <c r="A14" s="1"/>
      <c r="B14" s="36" t="s">
        <v>40</v>
      </c>
      <c r="C14" s="9">
        <f>-'Fane 4.2. Gen. krav - anlæg'!G40</f>
        <v>-154744.1020518654</v>
      </c>
      <c r="D14" s="8" t="s">
        <v>3</v>
      </c>
      <c r="E14" s="1"/>
    </row>
    <row r="15" spans="1:5" x14ac:dyDescent="0.25">
      <c r="A15" s="1"/>
      <c r="B15" s="37" t="s">
        <v>29</v>
      </c>
      <c r="C15" s="10">
        <f>SUM(C8:C14)</f>
        <v>14453964.944024811</v>
      </c>
      <c r="D15" s="11" t="s">
        <v>3</v>
      </c>
      <c r="E15" s="1"/>
    </row>
    <row r="16" spans="1:5" x14ac:dyDescent="0.25">
      <c r="A16" s="1"/>
      <c r="B16" s="44" t="s">
        <v>17</v>
      </c>
      <c r="C16" s="45"/>
      <c r="D16" s="46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15. Nøgletal'!C12)^2+'Fane 6. Ikke-påvirkelige omk.'!C20+'Fane 6. Ikke-påvirkelige omk.'!C28</f>
        <v>3375877.6619388987</v>
      </c>
      <c r="D17" s="11" t="s">
        <v>3</v>
      </c>
      <c r="E17" s="1"/>
    </row>
    <row r="18" spans="1:5" ht="15" customHeight="1" x14ac:dyDescent="0.25">
      <c r="A18" s="1"/>
      <c r="B18" s="44" t="s">
        <v>143</v>
      </c>
      <c r="C18" s="45"/>
      <c r="D18" s="46"/>
      <c r="E18" s="1"/>
    </row>
    <row r="19" spans="1:5" ht="15" customHeight="1" x14ac:dyDescent="0.25">
      <c r="A19" s="1"/>
      <c r="B19" s="35" t="s">
        <v>144</v>
      </c>
      <c r="C19" s="10">
        <f>'Fane 11. Periodevise driftsomk.'!E24</f>
        <v>81391.420576948483</v>
      </c>
      <c r="D19" s="11" t="s">
        <v>3</v>
      </c>
      <c r="E19" s="1"/>
    </row>
    <row r="20" spans="1:5" ht="15" customHeight="1" x14ac:dyDescent="0.25">
      <c r="A20" s="1"/>
      <c r="B20" s="44" t="s">
        <v>142</v>
      </c>
      <c r="C20" s="45"/>
      <c r="D20" s="46"/>
      <c r="E20" s="1"/>
    </row>
    <row r="21" spans="1:5" ht="15" customHeight="1" x14ac:dyDescent="0.25">
      <c r="A21" s="1"/>
      <c r="B21" s="50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3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4" t="s">
        <v>171</v>
      </c>
      <c r="C24" s="45"/>
      <c r="D24" s="46"/>
      <c r="E24" s="1"/>
    </row>
    <row r="25" spans="1:5" ht="15" customHeight="1" x14ac:dyDescent="0.25">
      <c r="A25" s="1"/>
      <c r="B25" s="40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4" t="s">
        <v>46</v>
      </c>
      <c r="C26" s="12">
        <f>SUM(C15,C17,C19,C23,C25)</f>
        <v>17911234.026540659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NqSpCgEoT54fPqa+ewazYjAN1MTpCw9RYmtgbF5ZyrIIcxyZdOILcLS6JTF4jwfZIKMki3n0UyCT1D56aGnvg==" saltValue="os+YUs77lLSak4mYHfxh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46"/>
      <c r="E7" s="1"/>
    </row>
    <row r="8" spans="1:5" ht="15" customHeight="1" x14ac:dyDescent="0.25">
      <c r="A8" s="1"/>
      <c r="B8" s="43" t="s">
        <v>220</v>
      </c>
      <c r="C8" s="7">
        <f>'Fane 2.3. Økonomisk ramme 2022'!C15</f>
        <v>14453964.944024811</v>
      </c>
      <c r="D8" s="8" t="s">
        <v>3</v>
      </c>
      <c r="E8" s="1"/>
    </row>
    <row r="9" spans="1:5" ht="15" customHeight="1" x14ac:dyDescent="0.25">
      <c r="A9" s="1"/>
      <c r="B9" s="43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3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36" t="s">
        <v>27</v>
      </c>
      <c r="C11" s="9">
        <f>C8*'Fane 15. Nøgletal'!C12</f>
        <v>284743.10939728876</v>
      </c>
      <c r="D11" s="8" t="s">
        <v>3</v>
      </c>
      <c r="E11" s="1"/>
    </row>
    <row r="12" spans="1:5" ht="15" customHeight="1" x14ac:dyDescent="0.25">
      <c r="A12" s="1"/>
      <c r="B12" s="36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6" t="s">
        <v>39</v>
      </c>
      <c r="C13" s="9">
        <f>-'Fane 4.1. Gen. krav - drift'!G48</f>
        <v>-186696.30212305274</v>
      </c>
      <c r="D13" s="8" t="s">
        <v>3</v>
      </c>
      <c r="E13" s="1"/>
    </row>
    <row r="14" spans="1:5" ht="15" customHeight="1" x14ac:dyDescent="0.25">
      <c r="A14" s="1"/>
      <c r="B14" s="36" t="s">
        <v>40</v>
      </c>
      <c r="C14" s="9">
        <f>-'Fane 4.2. Gen. krav - anlæg'!G46</f>
        <v>-153311.2521337982</v>
      </c>
      <c r="D14" s="8" t="s">
        <v>3</v>
      </c>
      <c r="E14" s="1"/>
    </row>
    <row r="15" spans="1:5" x14ac:dyDescent="0.25">
      <c r="A15" s="1"/>
      <c r="B15" s="37" t="s">
        <v>29</v>
      </c>
      <c r="C15" s="10">
        <f>SUM(C8:C14)</f>
        <v>14398700.499165248</v>
      </c>
      <c r="D15" s="11" t="s">
        <v>3</v>
      </c>
      <c r="E15" s="1"/>
    </row>
    <row r="16" spans="1:5" x14ac:dyDescent="0.25">
      <c r="A16" s="1"/>
      <c r="B16" s="44" t="s">
        <v>17</v>
      </c>
      <c r="C16" s="45"/>
      <c r="D16" s="46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15. Nøgletal'!C12)^3+'Fane 6. Ikke-påvirkelige omk.'!C21+'Fane 6. Ikke-påvirkelige omk.'!C29</f>
        <v>3442382.4518790948</v>
      </c>
      <c r="D17" s="11" t="s">
        <v>3</v>
      </c>
      <c r="E17" s="1"/>
    </row>
    <row r="18" spans="1:5" ht="15" customHeight="1" x14ac:dyDescent="0.25">
      <c r="A18" s="1"/>
      <c r="B18" s="44" t="s">
        <v>143</v>
      </c>
      <c r="C18" s="45"/>
      <c r="D18" s="46"/>
      <c r="E18" s="1"/>
    </row>
    <row r="19" spans="1:5" ht="15" customHeight="1" x14ac:dyDescent="0.25">
      <c r="A19" s="1"/>
      <c r="B19" s="35" t="s">
        <v>144</v>
      </c>
      <c r="C19" s="10">
        <f>'Fane 11. Periodevise driftsomk.'!E30</f>
        <v>82994.831562314372</v>
      </c>
      <c r="D19" s="11" t="s">
        <v>3</v>
      </c>
      <c r="E19" s="1"/>
    </row>
    <row r="20" spans="1:5" ht="15" customHeight="1" x14ac:dyDescent="0.25">
      <c r="A20" s="1"/>
      <c r="B20" s="44" t="s">
        <v>142</v>
      </c>
      <c r="C20" s="45"/>
      <c r="D20" s="46"/>
      <c r="E20" s="1"/>
    </row>
    <row r="21" spans="1:5" ht="15" customHeight="1" x14ac:dyDescent="0.25">
      <c r="A21" s="1"/>
      <c r="B21" s="50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3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4" t="s">
        <v>171</v>
      </c>
      <c r="C24" s="45"/>
      <c r="D24" s="46"/>
      <c r="E24" s="1"/>
    </row>
    <row r="25" spans="1:5" ht="15" customHeight="1" x14ac:dyDescent="0.25">
      <c r="A25" s="1"/>
      <c r="B25" s="40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4" t="s">
        <v>156</v>
      </c>
      <c r="C26" s="12">
        <f>SUM(C15,C17,C19,C23,C25)</f>
        <v>17924077.782606658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zEWZFrx+84ObTqZMMDjY77sVrRH4zcgAMYbZuFNHRvH8WGUg7RFuAziZuTRoKqRzJoAlgiES767rzKATJhT5Q==" saltValue="Weaecj95kDWviKRhm1Mol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254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81</v>
      </c>
      <c r="C8" s="45"/>
      <c r="D8" s="45"/>
      <c r="E8" s="45"/>
      <c r="F8" s="46"/>
      <c r="G8" s="1"/>
    </row>
    <row r="9" spans="1:7" x14ac:dyDescent="0.25">
      <c r="A9" s="1"/>
      <c r="B9" s="91" t="s">
        <v>79</v>
      </c>
      <c r="C9" s="92"/>
      <c r="D9" s="93"/>
      <c r="E9" s="7">
        <v>13935426.286324451</v>
      </c>
      <c r="F9" s="8" t="s">
        <v>3</v>
      </c>
      <c r="G9" s="1"/>
    </row>
    <row r="10" spans="1:7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x14ac:dyDescent="0.25">
      <c r="A11" s="1"/>
      <c r="B11" s="94" t="s">
        <v>65</v>
      </c>
      <c r="C11" s="95"/>
      <c r="D11" s="96"/>
      <c r="E11" s="9">
        <v>65488.359999999993</v>
      </c>
      <c r="F11" s="8" t="s">
        <v>3</v>
      </c>
      <c r="G11" s="1"/>
    </row>
    <row r="12" spans="1:7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41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44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43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27</v>
      </c>
      <c r="C16" s="95"/>
      <c r="D16" s="96"/>
      <c r="E16" s="9">
        <f>E9*'Fane 15. Nøgletal'!C10+SUM(E10:E15)*'Fane 15. Nøgletal'!C11</f>
        <v>244976.71329467793</v>
      </c>
      <c r="F16" s="8" t="s">
        <v>3</v>
      </c>
      <c r="G16" s="1"/>
    </row>
    <row r="17" spans="1:7" x14ac:dyDescent="0.25">
      <c r="A17" s="1"/>
      <c r="B17" s="94" t="s">
        <v>10</v>
      </c>
      <c r="C17" s="95"/>
      <c r="D17" s="96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94" t="s">
        <v>39</v>
      </c>
      <c r="C18" s="95"/>
      <c r="D18" s="96"/>
      <c r="E18" s="9">
        <f>-'Fane 4.1. Gen. krav - drift'!G21</f>
        <v>-188025.9271433375</v>
      </c>
      <c r="F18" s="8" t="s">
        <v>3</v>
      </c>
      <c r="G18" s="1"/>
    </row>
    <row r="19" spans="1:7" x14ac:dyDescent="0.25">
      <c r="A19" s="1"/>
      <c r="B19" s="94" t="s">
        <v>40</v>
      </c>
      <c r="C19" s="95"/>
      <c r="D19" s="96"/>
      <c r="E19" s="9">
        <f>-'Fane 4.2. Gen. krav - anlæg'!G19</f>
        <v>-85057.744365851206</v>
      </c>
      <c r="F19" s="8" t="s">
        <v>3</v>
      </c>
      <c r="G19" s="1"/>
    </row>
    <row r="20" spans="1:7" x14ac:dyDescent="0.25">
      <c r="A20" s="1"/>
      <c r="B20" s="78" t="s">
        <v>29</v>
      </c>
      <c r="C20" s="79"/>
      <c r="D20" s="80"/>
      <c r="E20" s="10">
        <f>SUM(E9:E19)</f>
        <v>13972807.68810994</v>
      </c>
      <c r="F20" s="11" t="s">
        <v>3</v>
      </c>
      <c r="G20" s="1"/>
    </row>
    <row r="21" spans="1:7" x14ac:dyDescent="0.25">
      <c r="A21" s="1"/>
      <c r="B21" s="97" t="s">
        <v>143</v>
      </c>
      <c r="C21" s="98"/>
      <c r="D21" s="98"/>
      <c r="E21" s="98"/>
      <c r="F21" s="99"/>
      <c r="G21" s="1"/>
    </row>
    <row r="22" spans="1:7" x14ac:dyDescent="0.25">
      <c r="A22" s="1"/>
      <c r="B22" s="81" t="s">
        <v>250</v>
      </c>
      <c r="C22" s="82"/>
      <c r="D22" s="83"/>
      <c r="E22" s="34">
        <v>78162.315000000002</v>
      </c>
      <c r="F22" s="8" t="s">
        <v>3</v>
      </c>
      <c r="G22" s="1"/>
    </row>
    <row r="23" spans="1:7" x14ac:dyDescent="0.25">
      <c r="A23" s="1"/>
      <c r="B23" s="81" t="s">
        <v>251</v>
      </c>
      <c r="C23" s="82"/>
      <c r="D23" s="83"/>
      <c r="E23" s="34">
        <f>-E22*('Fane 15. Nøgletal'!C25+'Fane 5. Individuelt eff. krav'!G10)</f>
        <v>-1563.2463</v>
      </c>
      <c r="F23" s="8" t="s">
        <v>3</v>
      </c>
      <c r="G23" s="1"/>
    </row>
    <row r="24" spans="1:7" x14ac:dyDescent="0.25">
      <c r="A24" s="1"/>
      <c r="B24" s="100" t="s">
        <v>252</v>
      </c>
      <c r="C24" s="101"/>
      <c r="D24" s="102"/>
      <c r="E24" s="10">
        <f>SUM(E22:E23)</f>
        <v>76599.068700000003</v>
      </c>
      <c r="F24" s="11" t="s">
        <v>3</v>
      </c>
      <c r="G24" s="1"/>
    </row>
    <row r="25" spans="1:7" x14ac:dyDescent="0.25">
      <c r="A25" s="1"/>
      <c r="B25" s="75" t="s">
        <v>17</v>
      </c>
      <c r="C25" s="76"/>
      <c r="D25" s="76"/>
      <c r="E25" s="45"/>
      <c r="F25" s="46"/>
      <c r="G25" s="1"/>
    </row>
    <row r="26" spans="1:7" x14ac:dyDescent="0.25">
      <c r="A26" s="1"/>
      <c r="B26" s="87" t="s">
        <v>17</v>
      </c>
      <c r="C26" s="88"/>
      <c r="D26" s="89"/>
      <c r="E26" s="10">
        <v>3923290.8158573089</v>
      </c>
      <c r="F26" s="11" t="s">
        <v>3</v>
      </c>
      <c r="G26" s="1"/>
    </row>
    <row r="27" spans="1:7" x14ac:dyDescent="0.25">
      <c r="A27" s="1"/>
      <c r="B27" s="44" t="s">
        <v>80</v>
      </c>
      <c r="C27" s="45"/>
      <c r="D27" s="45"/>
      <c r="E27" s="45"/>
      <c r="F27" s="46"/>
      <c r="G27" s="1"/>
    </row>
    <row r="28" spans="1:7" ht="27" customHeight="1" x14ac:dyDescent="0.25">
      <c r="A28" s="1"/>
      <c r="B28" s="84" t="s">
        <v>132</v>
      </c>
      <c r="C28" s="85"/>
      <c r="D28" s="86"/>
      <c r="E28" s="10">
        <v>17385.807436450559</v>
      </c>
      <c r="F28" s="11" t="s">
        <v>3</v>
      </c>
      <c r="G28" s="1"/>
    </row>
    <row r="29" spans="1:7" x14ac:dyDescent="0.25">
      <c r="A29" s="1"/>
      <c r="B29" s="44" t="s">
        <v>11</v>
      </c>
      <c r="C29" s="45"/>
      <c r="D29" s="45"/>
      <c r="E29" s="45"/>
      <c r="F29" s="46"/>
      <c r="G29" s="1"/>
    </row>
    <row r="30" spans="1:7" x14ac:dyDescent="0.25">
      <c r="A30" s="1"/>
      <c r="B30" s="87" t="s">
        <v>19</v>
      </c>
      <c r="C30" s="88"/>
      <c r="D30" s="89"/>
      <c r="E30" s="10">
        <v>-310847</v>
      </c>
      <c r="F30" s="11" t="s">
        <v>3</v>
      </c>
      <c r="G30" s="1"/>
    </row>
    <row r="31" spans="1:7" x14ac:dyDescent="0.25">
      <c r="A31" s="1"/>
      <c r="B31" s="75" t="s">
        <v>268</v>
      </c>
      <c r="C31" s="76"/>
      <c r="D31" s="76"/>
      <c r="E31" s="76"/>
      <c r="F31" s="77"/>
      <c r="G31" s="1"/>
    </row>
    <row r="32" spans="1:7" x14ac:dyDescent="0.25">
      <c r="A32" s="1"/>
      <c r="B32" s="78" t="s">
        <v>269</v>
      </c>
      <c r="C32" s="79"/>
      <c r="D32" s="80"/>
      <c r="E32" s="10">
        <v>-1000000</v>
      </c>
      <c r="F32" s="11" t="s">
        <v>3</v>
      </c>
      <c r="G32" s="1"/>
    </row>
    <row r="33" spans="1:7" x14ac:dyDescent="0.25">
      <c r="A33" s="1"/>
      <c r="B33" s="75" t="s">
        <v>267</v>
      </c>
      <c r="C33" s="76"/>
      <c r="D33" s="76"/>
      <c r="E33" s="76"/>
      <c r="F33" s="77"/>
      <c r="G33" s="1"/>
    </row>
    <row r="34" spans="1:7" x14ac:dyDescent="0.25">
      <c r="A34" s="1"/>
      <c r="B34" s="78" t="s">
        <v>267</v>
      </c>
      <c r="C34" s="79"/>
      <c r="D34" s="80"/>
      <c r="E34" s="10">
        <v>587000</v>
      </c>
      <c r="F34" s="11" t="s">
        <v>3</v>
      </c>
      <c r="G34" s="1"/>
    </row>
    <row r="35" spans="1:7" x14ac:dyDescent="0.25">
      <c r="A35" s="1"/>
      <c r="B35" s="44" t="s">
        <v>24</v>
      </c>
      <c r="C35" s="45"/>
      <c r="D35" s="45"/>
      <c r="E35" s="12">
        <f>SUM(E30,E28,E26,E20,E24,E32,E34)</f>
        <v>17266236.3801037</v>
      </c>
      <c r="F35" s="13" t="s">
        <v>3</v>
      </c>
      <c r="G35" s="1"/>
    </row>
    <row r="36" spans="1:7" ht="27" customHeight="1" x14ac:dyDescent="0.25">
      <c r="A36" s="1"/>
      <c r="B36" s="81" t="s">
        <v>209</v>
      </c>
      <c r="C36" s="82"/>
      <c r="D36" s="82"/>
      <c r="E36" s="82"/>
      <c r="F36" s="8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GBL4fcGw5wB40TXJr+Wk70YgoZ+I+R4DUaJmfgVqBk5lJKCQR2V1oNsu2Z5qYxV6KA4obAA+yFyTkvJRHROCg==" saltValue="DFMBlyWW2iyNMydCTLz6hQ==" spinCount="100000" sheet="1" objects="1" scenarios="1"/>
  <mergeCells count="26">
    <mergeCell ref="B22:D22"/>
    <mergeCell ref="B23:D23"/>
    <mergeCell ref="B24:D24"/>
    <mergeCell ref="B19:D19"/>
    <mergeCell ref="B20:D20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  <mergeCell ref="B21:F21"/>
    <mergeCell ref="B33:F33"/>
    <mergeCell ref="B34:D34"/>
    <mergeCell ref="B31:F31"/>
    <mergeCell ref="B32:D32"/>
    <mergeCell ref="B36:F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235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7" t="s">
        <v>94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3" t="s">
        <v>83</v>
      </c>
      <c r="C5" s="104"/>
      <c r="D5" s="104"/>
      <c r="E5" s="104"/>
      <c r="F5" s="105"/>
      <c r="G5" s="25">
        <v>9465490.1500789989</v>
      </c>
      <c r="H5" s="14" t="s">
        <v>3</v>
      </c>
      <c r="I5" s="1"/>
    </row>
    <row r="6" spans="1:9" x14ac:dyDescent="0.25">
      <c r="A6" s="1"/>
      <c r="B6" s="81" t="s">
        <v>253</v>
      </c>
      <c r="C6" s="82"/>
      <c r="D6" s="82"/>
      <c r="E6" s="82"/>
      <c r="F6" s="83"/>
      <c r="G6" s="25">
        <v>251654.93729999999</v>
      </c>
      <c r="H6" s="14" t="s">
        <v>3</v>
      </c>
      <c r="I6" s="1"/>
    </row>
    <row r="7" spans="1:9" x14ac:dyDescent="0.25">
      <c r="A7" s="1"/>
      <c r="B7" s="103" t="s">
        <v>84</v>
      </c>
      <c r="C7" s="104"/>
      <c r="D7" s="104"/>
      <c r="E7" s="104"/>
      <c r="F7" s="105"/>
      <c r="G7" s="25">
        <f>SUM(G5:G6)*'Fane 15. Nøgletal'!C25</f>
        <v>194342.90174757998</v>
      </c>
      <c r="H7" s="14" t="s">
        <v>3</v>
      </c>
      <c r="I7" s="1"/>
    </row>
    <row r="8" spans="1:9" x14ac:dyDescent="0.25">
      <c r="A8" s="1"/>
      <c r="B8" s="44"/>
      <c r="C8" s="45"/>
      <c r="D8" s="45"/>
      <c r="E8" s="45"/>
      <c r="F8" s="45"/>
      <c r="G8" s="45"/>
      <c r="H8" s="46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7" t="s">
        <v>95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3" t="s">
        <v>85</v>
      </c>
      <c r="C11" s="104"/>
      <c r="D11" s="104"/>
      <c r="E11" s="104"/>
      <c r="F11" s="105"/>
      <c r="G11" s="25">
        <f>(G5-G7)*(1+'Fane 15. Nøgletal'!C10)</f>
        <v>9433392.3251772188</v>
      </c>
      <c r="H11" s="14" t="s">
        <v>3</v>
      </c>
      <c r="I11" s="1"/>
    </row>
    <row r="12" spans="1:9" x14ac:dyDescent="0.25">
      <c r="A12" s="1"/>
      <c r="B12" s="103" t="s">
        <v>256</v>
      </c>
      <c r="C12" s="104"/>
      <c r="D12" s="104"/>
      <c r="E12" s="104"/>
      <c r="F12" s="105"/>
      <c r="G12" s="25">
        <v>3.2958248630166056E-6</v>
      </c>
      <c r="H12" s="14" t="s">
        <v>3</v>
      </c>
      <c r="I12" s="1"/>
    </row>
    <row r="13" spans="1:9" x14ac:dyDescent="0.25">
      <c r="A13" s="1"/>
      <c r="B13" s="81" t="s">
        <v>250</v>
      </c>
      <c r="C13" s="82"/>
      <c r="D13" s="82"/>
      <c r="E13" s="82"/>
      <c r="F13" s="83"/>
      <c r="G13" s="25">
        <v>256058.96250000002</v>
      </c>
      <c r="H13" s="14" t="s">
        <v>3</v>
      </c>
      <c r="I13" s="1"/>
    </row>
    <row r="14" spans="1:9" x14ac:dyDescent="0.25">
      <c r="A14" s="1"/>
      <c r="B14" s="109" t="s">
        <v>86</v>
      </c>
      <c r="C14" s="107"/>
      <c r="D14" s="107"/>
      <c r="E14" s="107"/>
      <c r="F14" s="108"/>
      <c r="G14" s="25">
        <v>0</v>
      </c>
      <c r="H14" s="14" t="s">
        <v>3</v>
      </c>
      <c r="I14" s="1"/>
    </row>
    <row r="15" spans="1:9" x14ac:dyDescent="0.25">
      <c r="A15" s="1"/>
      <c r="B15" s="103" t="s">
        <v>87</v>
      </c>
      <c r="C15" s="104"/>
      <c r="D15" s="104"/>
      <c r="E15" s="104"/>
      <c r="F15" s="105"/>
      <c r="G15" s="25">
        <f>SUM(G11:G14)*'Fane 15. Nøgletal'!C25</f>
        <v>193789.02575361027</v>
      </c>
      <c r="H15" s="14" t="s">
        <v>3</v>
      </c>
      <c r="I15" s="1"/>
    </row>
    <row r="16" spans="1:9" x14ac:dyDescent="0.25">
      <c r="A16" s="1"/>
      <c r="B16" s="44"/>
      <c r="C16" s="45"/>
      <c r="D16" s="45"/>
      <c r="E16" s="45"/>
      <c r="F16" s="45"/>
      <c r="G16" s="45"/>
      <c r="H16" s="46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7" t="s">
        <v>96</v>
      </c>
      <c r="C18" s="98"/>
      <c r="D18" s="98"/>
      <c r="E18" s="98"/>
      <c r="F18" s="98"/>
      <c r="G18" s="98"/>
      <c r="H18" s="99"/>
      <c r="I18" s="1"/>
    </row>
    <row r="19" spans="1:9" x14ac:dyDescent="0.25">
      <c r="A19" s="1"/>
      <c r="B19" s="103" t="s">
        <v>88</v>
      </c>
      <c r="C19" s="104"/>
      <c r="D19" s="104"/>
      <c r="E19" s="104"/>
      <c r="F19" s="105"/>
      <c r="G19" s="25">
        <f>(G11+G12+G14-G15)*(1+'Fane 15. Nøgletal'!C10)</f>
        <v>9401296.3571668752</v>
      </c>
      <c r="H19" s="14" t="s">
        <v>3</v>
      </c>
      <c r="I19" s="1"/>
    </row>
    <row r="20" spans="1:9" x14ac:dyDescent="0.25">
      <c r="A20" s="1"/>
      <c r="B20" s="109" t="s">
        <v>89</v>
      </c>
      <c r="C20" s="107"/>
      <c r="D20" s="107"/>
      <c r="E20" s="107"/>
      <c r="F20" s="108"/>
      <c r="G20" s="25">
        <v>0</v>
      </c>
      <c r="H20" s="14" t="s">
        <v>3</v>
      </c>
      <c r="I20" s="1"/>
    </row>
    <row r="21" spans="1:9" x14ac:dyDescent="0.25">
      <c r="A21" s="1"/>
      <c r="B21" s="103" t="s">
        <v>90</v>
      </c>
      <c r="C21" s="104"/>
      <c r="D21" s="104"/>
      <c r="E21" s="104"/>
      <c r="F21" s="105"/>
      <c r="G21" s="25">
        <f>(G19+G20)*'Fane 15. Nøgletal'!C25</f>
        <v>188025.9271433375</v>
      </c>
      <c r="H21" s="14" t="s">
        <v>3</v>
      </c>
      <c r="I21" s="1"/>
    </row>
    <row r="22" spans="1:9" x14ac:dyDescent="0.25">
      <c r="A22" s="1"/>
      <c r="B22" s="44"/>
      <c r="C22" s="45"/>
      <c r="D22" s="45"/>
      <c r="E22" s="45"/>
      <c r="F22" s="45"/>
      <c r="G22" s="45"/>
      <c r="H22" s="46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7" t="s">
        <v>97</v>
      </c>
      <c r="C24" s="98"/>
      <c r="D24" s="98"/>
      <c r="E24" s="98"/>
      <c r="F24" s="98"/>
      <c r="G24" s="98"/>
      <c r="H24" s="99"/>
      <c r="I24" s="1"/>
    </row>
    <row r="25" spans="1:9" x14ac:dyDescent="0.25">
      <c r="A25" s="1"/>
      <c r="B25" s="103" t="s">
        <v>91</v>
      </c>
      <c r="C25" s="104"/>
      <c r="D25" s="104"/>
      <c r="E25" s="104"/>
      <c r="F25" s="105"/>
      <c r="G25" s="25">
        <f>G19*(1-'Fane 15. Nøgletal'!C25)*(1+'Fane 15. Nøgletal'!C10)+G20*(1-'Fane 15. Nøgletal'!C25)*(1+'Fane 15. Nøgletal'!C11)</f>
        <v>9374502.6625489499</v>
      </c>
      <c r="H25" s="14" t="s">
        <v>3</v>
      </c>
      <c r="I25" s="1"/>
    </row>
    <row r="26" spans="1:9" x14ac:dyDescent="0.25">
      <c r="A26" s="1"/>
      <c r="B26" s="106" t="s">
        <v>248</v>
      </c>
      <c r="C26" s="107"/>
      <c r="D26" s="107"/>
      <c r="E26" s="107"/>
      <c r="F26" s="108"/>
      <c r="G26" s="25">
        <f>G20*(1-'Fane 15. Nøgletal'!C25)*(1+'Fane 15. Nøgletal'!C11)</f>
        <v>0</v>
      </c>
      <c r="H26" s="14" t="s">
        <v>3</v>
      </c>
      <c r="I26" s="1"/>
    </row>
    <row r="27" spans="1:9" x14ac:dyDescent="0.25">
      <c r="A27" s="1"/>
      <c r="B27" s="109" t="s">
        <v>92</v>
      </c>
      <c r="C27" s="107"/>
      <c r="D27" s="107"/>
      <c r="E27" s="107"/>
      <c r="F27" s="108"/>
      <c r="G27" s="25">
        <f>('Fane 2.1. Økonomisk ramme 2020'!C12+'Fane 2.1. Økonomisk ramme 2020'!C14+'Fane 2.1. Økonomisk ramme 2020'!C16)*(1+'Fane 15. Nøgletal'!C12)</f>
        <v>0</v>
      </c>
      <c r="H27" s="14" t="s">
        <v>3</v>
      </c>
      <c r="I27" s="1"/>
    </row>
    <row r="28" spans="1:9" x14ac:dyDescent="0.25">
      <c r="A28" s="1"/>
      <c r="B28" s="103" t="s">
        <v>93</v>
      </c>
      <c r="C28" s="104"/>
      <c r="D28" s="104"/>
      <c r="E28" s="104"/>
      <c r="F28" s="105"/>
      <c r="G28" s="25">
        <f>SUM(G25,G27)*'Fane 15. Nøgletal'!C25</f>
        <v>187490.05325097899</v>
      </c>
      <c r="H28" s="14" t="s">
        <v>3</v>
      </c>
      <c r="I28" s="1"/>
    </row>
    <row r="29" spans="1:9" x14ac:dyDescent="0.25">
      <c r="A29" s="1"/>
      <c r="B29" s="44"/>
      <c r="C29" s="45"/>
      <c r="D29" s="45"/>
      <c r="E29" s="45"/>
      <c r="F29" s="45"/>
      <c r="G29" s="45"/>
      <c r="H29" s="46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7" t="s">
        <v>100</v>
      </c>
      <c r="C31" s="98"/>
      <c r="D31" s="98"/>
      <c r="E31" s="98"/>
      <c r="F31" s="98"/>
      <c r="G31" s="98"/>
      <c r="H31" s="99"/>
      <c r="I31" s="1"/>
    </row>
    <row r="32" spans="1:9" x14ac:dyDescent="0.25">
      <c r="A32" s="1"/>
      <c r="B32" s="103" t="s">
        <v>101</v>
      </c>
      <c r="C32" s="104"/>
      <c r="D32" s="104"/>
      <c r="E32" s="104"/>
      <c r="F32" s="105"/>
      <c r="G32" s="25">
        <f>(G25-G26)*(1-'Fane 15. Nøgletal'!C25)*(1+'Fane 15. Nøgletal'!C10)+G26*(1-'Fane 15. Nøgletal'!C25)*(1+'Fane 15. Nøgletal'!C11)+G27*(1-'Fane 15. Nøgletal'!C25)*(1+'Fane 15. Nøgletal'!C12)</f>
        <v>9347785.3299606852</v>
      </c>
      <c r="H32" s="14" t="s">
        <v>3</v>
      </c>
      <c r="I32" s="1"/>
    </row>
    <row r="33" spans="1:9" x14ac:dyDescent="0.25">
      <c r="A33" s="1"/>
      <c r="B33" s="106" t="s">
        <v>248</v>
      </c>
      <c r="C33" s="107"/>
      <c r="D33" s="107"/>
      <c r="E33" s="107"/>
      <c r="F33" s="108"/>
      <c r="G33" s="25">
        <f>G26*(1-'Fane 15. Nøgletal'!C25)*(1+'Fane 15. Nøgletal'!C11)</f>
        <v>0</v>
      </c>
      <c r="H33" s="14" t="s">
        <v>3</v>
      </c>
      <c r="I33" s="1"/>
    </row>
    <row r="34" spans="1:9" x14ac:dyDescent="0.25">
      <c r="A34" s="1"/>
      <c r="B34" s="106" t="s">
        <v>249</v>
      </c>
      <c r="C34" s="107"/>
      <c r="D34" s="107"/>
      <c r="E34" s="107"/>
      <c r="F34" s="108"/>
      <c r="G34" s="25">
        <f>G27*(1-'Fane 15. Nøgletal'!C25)*(1+'Fane 15. Nøgletal'!C12)</f>
        <v>0</v>
      </c>
      <c r="H34" s="14" t="s">
        <v>3</v>
      </c>
      <c r="I34" s="1"/>
    </row>
    <row r="35" spans="1:9" x14ac:dyDescent="0.25">
      <c r="A35" s="1"/>
      <c r="B35" s="103" t="s">
        <v>147</v>
      </c>
      <c r="C35" s="104"/>
      <c r="D35" s="104"/>
      <c r="E35" s="104"/>
      <c r="F35" s="105"/>
      <c r="G35" s="25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3" t="s">
        <v>102</v>
      </c>
      <c r="C36" s="104"/>
      <c r="D36" s="104"/>
      <c r="E36" s="104"/>
      <c r="F36" s="105"/>
      <c r="G36" s="25">
        <f>SUM(G32,G35)*'Fane 15. Nøgletal'!C25</f>
        <v>186955.70659921371</v>
      </c>
      <c r="H36" s="14" t="s">
        <v>3</v>
      </c>
      <c r="I36" s="1"/>
    </row>
    <row r="37" spans="1:9" x14ac:dyDescent="0.25">
      <c r="A37" s="1"/>
      <c r="B37" s="44"/>
      <c r="C37" s="45"/>
      <c r="D37" s="45"/>
      <c r="E37" s="45"/>
      <c r="F37" s="45"/>
      <c r="G37" s="45"/>
      <c r="H37" s="46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7" t="s">
        <v>127</v>
      </c>
      <c r="C39" s="98"/>
      <c r="D39" s="98"/>
      <c r="E39" s="98"/>
      <c r="F39" s="98"/>
      <c r="G39" s="98"/>
      <c r="H39" s="99"/>
      <c r="I39" s="1"/>
    </row>
    <row r="40" spans="1:9" x14ac:dyDescent="0.25">
      <c r="A40" s="1"/>
      <c r="B40" s="103" t="s">
        <v>126</v>
      </c>
      <c r="C40" s="104"/>
      <c r="D40" s="104"/>
      <c r="E40" s="104"/>
      <c r="F40" s="105"/>
      <c r="G40" s="25">
        <f>(SUM(G32,G35)-G36)*(1+'Fane 15. Nøgletal'!C12)</f>
        <v>9341297.9669416938</v>
      </c>
      <c r="H40" s="14" t="s">
        <v>3</v>
      </c>
      <c r="I40" s="1"/>
    </row>
    <row r="41" spans="1:9" x14ac:dyDescent="0.25">
      <c r="A41" s="1"/>
      <c r="B41" s="103" t="s">
        <v>148</v>
      </c>
      <c r="C41" s="104"/>
      <c r="D41" s="104"/>
      <c r="E41" s="104"/>
      <c r="F41" s="105"/>
      <c r="G41" s="25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3" t="s">
        <v>103</v>
      </c>
      <c r="C42" s="104"/>
      <c r="D42" s="104"/>
      <c r="E42" s="104"/>
      <c r="F42" s="105"/>
      <c r="G42" s="25">
        <f>(G40+G41)*'Fane 15. Nøgletal'!C25</f>
        <v>186825.95933883387</v>
      </c>
      <c r="H42" s="14" t="s">
        <v>3</v>
      </c>
      <c r="I42" s="1"/>
    </row>
    <row r="43" spans="1:9" x14ac:dyDescent="0.25">
      <c r="A43" s="1"/>
      <c r="B43" s="44"/>
      <c r="C43" s="45"/>
      <c r="D43" s="45"/>
      <c r="E43" s="45"/>
      <c r="F43" s="45"/>
      <c r="G43" s="45"/>
      <c r="H43" s="46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7" t="s">
        <v>128</v>
      </c>
      <c r="C45" s="98"/>
      <c r="D45" s="98"/>
      <c r="E45" s="98"/>
      <c r="F45" s="98"/>
      <c r="G45" s="98"/>
      <c r="H45" s="99"/>
      <c r="I45" s="1"/>
    </row>
    <row r="46" spans="1:9" x14ac:dyDescent="0.25">
      <c r="A46" s="1"/>
      <c r="B46" s="103" t="s">
        <v>125</v>
      </c>
      <c r="C46" s="104"/>
      <c r="D46" s="104"/>
      <c r="E46" s="104"/>
      <c r="F46" s="105"/>
      <c r="G46" s="25">
        <f>(G40-G42)*(1+'Fane 15. Nøgletal'!C12)</f>
        <v>9334815.1061526369</v>
      </c>
      <c r="H46" s="14" t="s">
        <v>3</v>
      </c>
      <c r="I46" s="1"/>
    </row>
    <row r="47" spans="1:9" x14ac:dyDescent="0.25">
      <c r="A47" s="1"/>
      <c r="B47" s="103" t="s">
        <v>149</v>
      </c>
      <c r="C47" s="104"/>
      <c r="D47" s="104"/>
      <c r="E47" s="104"/>
      <c r="F47" s="105"/>
      <c r="G47" s="25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3" t="s">
        <v>104</v>
      </c>
      <c r="C48" s="104"/>
      <c r="D48" s="104"/>
      <c r="E48" s="104"/>
      <c r="F48" s="105"/>
      <c r="G48" s="25">
        <f>(G46+G47)*'Fane 15. Nøgletal'!C25</f>
        <v>186696.30212305274</v>
      </c>
      <c r="H48" s="14" t="s">
        <v>3</v>
      </c>
      <c r="I48" s="1"/>
    </row>
    <row r="49" spans="1:9" x14ac:dyDescent="0.25">
      <c r="A49" s="1"/>
      <c r="B49" s="44"/>
      <c r="C49" s="45"/>
      <c r="D49" s="45"/>
      <c r="E49" s="45"/>
      <c r="F49" s="45"/>
      <c r="G49" s="45"/>
      <c r="H49" s="46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b4mcRah18pKsUCnW04XVkTYS9r7yfUaEZaRUytcMc7czKVPHxk/hXRY5JXB4epavpEALA9B/0+04KKxGzn3Uw==" saltValue="NtdtZidADwYYkD3Zz8M2+Q==" spinCount="100000" sheet="1" objects="1" scenarios="1"/>
  <mergeCells count="34"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2:F12"/>
    <mergeCell ref="B1:H3"/>
    <mergeCell ref="B4:H4"/>
    <mergeCell ref="B5:F5"/>
    <mergeCell ref="B7:F7"/>
    <mergeCell ref="B11:F11"/>
    <mergeCell ref="B10:H10"/>
    <mergeCell ref="B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10" t="s">
        <v>234</v>
      </c>
      <c r="C2" s="110"/>
      <c r="D2" s="110"/>
      <c r="E2" s="110"/>
      <c r="F2" s="110"/>
      <c r="G2" s="110"/>
      <c r="H2" s="110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7" t="s">
        <v>98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3" t="s">
        <v>105</v>
      </c>
      <c r="C5" s="104"/>
      <c r="D5" s="104"/>
      <c r="E5" s="104"/>
      <c r="F5" s="105"/>
      <c r="G5" s="25">
        <v>4435445.0346933687</v>
      </c>
      <c r="H5" s="14" t="s">
        <v>3</v>
      </c>
      <c r="I5" s="1"/>
    </row>
    <row r="6" spans="1:9" x14ac:dyDescent="0.25">
      <c r="A6" s="1"/>
      <c r="B6" s="103" t="s">
        <v>99</v>
      </c>
      <c r="C6" s="104"/>
      <c r="D6" s="104"/>
      <c r="E6" s="104"/>
      <c r="F6" s="105"/>
      <c r="G6" s="25">
        <f>G5*'Fane 15. Nøgletal'!C17</f>
        <v>40362.549815709659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46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106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3" t="s">
        <v>107</v>
      </c>
      <c r="C10" s="104"/>
      <c r="D10" s="104"/>
      <c r="E10" s="104"/>
      <c r="F10" s="105"/>
      <c r="G10" s="25">
        <f>(G5-G6)*(1+'Fane 15. Nøgletal'!C10)</f>
        <v>4471996.4283630187</v>
      </c>
      <c r="H10" s="14" t="s">
        <v>3</v>
      </c>
      <c r="I10" s="1"/>
    </row>
    <row r="11" spans="1:9" x14ac:dyDescent="0.25">
      <c r="A11" s="1"/>
      <c r="B11" s="103" t="s">
        <v>257</v>
      </c>
      <c r="C11" s="104"/>
      <c r="D11" s="104"/>
      <c r="E11" s="104"/>
      <c r="F11" s="105"/>
      <c r="G11" s="25">
        <v>303226.83097480662</v>
      </c>
      <c r="H11" s="14" t="s">
        <v>3</v>
      </c>
      <c r="I11" s="1"/>
    </row>
    <row r="12" spans="1:9" x14ac:dyDescent="0.25">
      <c r="A12" s="1"/>
      <c r="B12" s="109" t="s">
        <v>108</v>
      </c>
      <c r="C12" s="107"/>
      <c r="D12" s="107"/>
      <c r="E12" s="107"/>
      <c r="F12" s="108"/>
      <c r="G12" s="25">
        <v>0</v>
      </c>
      <c r="H12" s="14" t="s">
        <v>3</v>
      </c>
      <c r="I12" s="1"/>
    </row>
    <row r="13" spans="1:9" x14ac:dyDescent="0.25">
      <c r="A13" s="1"/>
      <c r="B13" s="103" t="s">
        <v>109</v>
      </c>
      <c r="C13" s="104"/>
      <c r="D13" s="104"/>
      <c r="E13" s="104"/>
      <c r="F13" s="105"/>
      <c r="G13" s="25">
        <f>SUM(G10:G12)*'Fane 15. Nøgletal'!C18</f>
        <v>84521.451690279515</v>
      </c>
      <c r="H13" s="14" t="s">
        <v>3</v>
      </c>
      <c r="I13" s="1"/>
    </row>
    <row r="14" spans="1:9" x14ac:dyDescent="0.25">
      <c r="A14" s="1"/>
      <c r="B14" s="44"/>
      <c r="C14" s="45"/>
      <c r="D14" s="45"/>
      <c r="E14" s="45"/>
      <c r="F14" s="45"/>
      <c r="G14" s="45"/>
      <c r="H14" s="46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110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103" t="s">
        <v>111</v>
      </c>
      <c r="C17" s="104"/>
      <c r="D17" s="104"/>
      <c r="E17" s="104"/>
      <c r="F17" s="105"/>
      <c r="G17" s="25">
        <f>(G10+G11+G12-G13)*(1+'Fane 15. Nøgletal'!C10)</f>
        <v>4772789.0892813783</v>
      </c>
      <c r="H17" s="14" t="s">
        <v>3</v>
      </c>
      <c r="I17" s="1"/>
    </row>
    <row r="18" spans="1:9" x14ac:dyDescent="0.25">
      <c r="A18" s="1"/>
      <c r="B18" s="109" t="s">
        <v>112</v>
      </c>
      <c r="C18" s="107"/>
      <c r="D18" s="107"/>
      <c r="E18" s="107"/>
      <c r="F18" s="108"/>
      <c r="G18" s="25">
        <v>66595.113283999992</v>
      </c>
      <c r="H18" s="14" t="s">
        <v>3</v>
      </c>
      <c r="I18" s="1"/>
    </row>
    <row r="19" spans="1:9" x14ac:dyDescent="0.25">
      <c r="A19" s="1"/>
      <c r="B19" s="103" t="s">
        <v>113</v>
      </c>
      <c r="C19" s="104"/>
      <c r="D19" s="104"/>
      <c r="E19" s="104"/>
      <c r="F19" s="105"/>
      <c r="G19" s="25">
        <f>G17*'Fane 15. Nøgletal'!C18+G18*'Fane 15. Nøgletal'!C19</f>
        <v>85057.744365851206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46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114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3" t="s">
        <v>115</v>
      </c>
      <c r="C23" s="104"/>
      <c r="D23" s="104"/>
      <c r="E23" s="104"/>
      <c r="F23" s="105"/>
      <c r="G23" s="25">
        <f>G17*(1-'Fane 15. Nøgletal'!C18)*(1+'Fane 15. Nøgletal'!C10)+G18*(1-'Fane 15. Nøgletal'!C19)*(1+'Fane 15. Nøgletal'!C11)</f>
        <v>4837487.5617765393</v>
      </c>
      <c r="H23" s="14" t="s">
        <v>3</v>
      </c>
      <c r="I23" s="1"/>
    </row>
    <row r="24" spans="1:9" x14ac:dyDescent="0.25">
      <c r="A24" s="1"/>
      <c r="B24" s="106" t="s">
        <v>245</v>
      </c>
      <c r="C24" s="107"/>
      <c r="D24" s="107"/>
      <c r="E24" s="107"/>
      <c r="F24" s="108"/>
      <c r="G24" s="25">
        <f>G18*(1-'Fane 15. Nøgletal'!C19)*(1+'Fane 15. Nøgletal'!C11)</f>
        <v>67131.401733422637</v>
      </c>
      <c r="H24" s="14" t="s">
        <v>3</v>
      </c>
      <c r="I24" s="1"/>
    </row>
    <row r="25" spans="1:9" x14ac:dyDescent="0.25">
      <c r="A25" s="1"/>
      <c r="B25" s="109" t="s">
        <v>116</v>
      </c>
      <c r="C25" s="107"/>
      <c r="D25" s="107"/>
      <c r="E25" s="107"/>
      <c r="F25" s="108"/>
      <c r="G25" s="25">
        <f>('Fane 2.1. Økonomisk ramme 2020'!C13+'Fane 2.1. Økonomisk ramme 2020'!C15+'Fane 2.1. Økonomisk ramme 2020'!C17)*(1+'Fane 15. Nøgletal'!C12)</f>
        <v>615886.15901755693</v>
      </c>
      <c r="H25" s="14" t="s">
        <v>3</v>
      </c>
      <c r="I25" s="1"/>
    </row>
    <row r="26" spans="1:9" x14ac:dyDescent="0.25">
      <c r="A26" s="1"/>
      <c r="B26" s="103" t="s">
        <v>117</v>
      </c>
      <c r="C26" s="104"/>
      <c r="D26" s="104"/>
      <c r="E26" s="104"/>
      <c r="F26" s="105"/>
      <c r="G26" s="25">
        <f>(G23-G24)*'Fane 15. Nøgletal'!C18+G24*'Fane 15. Nøgletal'!C19+G25*'Fane 15. Nøgletal'!C20</f>
        <v>102510.51414394256</v>
      </c>
      <c r="H26" s="14" t="s">
        <v>3</v>
      </c>
      <c r="I26" s="1"/>
    </row>
    <row r="27" spans="1:9" x14ac:dyDescent="0.25">
      <c r="A27" s="1"/>
      <c r="B27" s="44"/>
      <c r="C27" s="45"/>
      <c r="D27" s="45"/>
      <c r="E27" s="45"/>
      <c r="F27" s="45"/>
      <c r="G27" s="45"/>
      <c r="H27" s="46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7" t="s">
        <v>118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119</v>
      </c>
      <c r="C30" s="104"/>
      <c r="D30" s="104"/>
      <c r="E30" s="104"/>
      <c r="F30" s="105"/>
      <c r="G30" s="25">
        <f>(G23-G24)*(1-'Fane 15. Nøgletal'!C18)*(1+'Fane 15. Nøgletal'!C10)+G24*(1-'Fane 15. Nøgletal'!C19)*(1+'Fane 15. Nøgletal'!C11)+G25*(1-'Fane 15. Nøgletal'!C20)*(1+'Fane 15. Nøgletal'!C12)</f>
        <v>5445779.853334032</v>
      </c>
      <c r="H30" s="14" t="s">
        <v>3</v>
      </c>
      <c r="I30" s="1"/>
    </row>
    <row r="31" spans="1:9" x14ac:dyDescent="0.25">
      <c r="A31" s="1"/>
      <c r="B31" s="106" t="s">
        <v>246</v>
      </c>
      <c r="C31" s="107"/>
      <c r="D31" s="107"/>
      <c r="E31" s="107"/>
      <c r="F31" s="108"/>
      <c r="G31" s="25">
        <f>G24*(1-'Fane 15. Nøgletal'!C19)*(1+'Fane 15. Nøgletal'!C11)</f>
        <v>67672.008897639826</v>
      </c>
      <c r="H31" s="14" t="s">
        <v>3</v>
      </c>
      <c r="I31" s="1"/>
    </row>
    <row r="32" spans="1:9" x14ac:dyDescent="0.25">
      <c r="A32" s="1"/>
      <c r="B32" s="106" t="s">
        <v>247</v>
      </c>
      <c r="C32" s="107"/>
      <c r="D32" s="107"/>
      <c r="E32" s="107"/>
      <c r="F32" s="108"/>
      <c r="G32" s="25">
        <f>G25*(1-'Fane 15. Nøgletal'!C20)*(1+'Fane 15. Nøgletal'!C12)</f>
        <v>610183.37344585708</v>
      </c>
      <c r="H32" s="14" t="s">
        <v>3</v>
      </c>
      <c r="I32" s="1"/>
    </row>
    <row r="33" spans="1:9" x14ac:dyDescent="0.25">
      <c r="A33" s="1"/>
      <c r="B33" s="103" t="s">
        <v>153</v>
      </c>
      <c r="C33" s="104"/>
      <c r="D33" s="104"/>
      <c r="E33" s="104"/>
      <c r="F33" s="105"/>
      <c r="G33" s="25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3" t="s">
        <v>120</v>
      </c>
      <c r="C34" s="104"/>
      <c r="D34" s="104"/>
      <c r="E34" s="104"/>
      <c r="F34" s="105"/>
      <c r="G34" s="25">
        <f>(G30-SUM(G31:G32))*'Fane 15. Nøgletal'!C18+G31*'Fane 15. Nøgletal'!C19+(G32+G33)*'Fane 15. Nøgletal'!C20</f>
        <v>102310.21741980428</v>
      </c>
      <c r="H34" s="14" t="s">
        <v>3</v>
      </c>
      <c r="I34" s="1"/>
    </row>
    <row r="35" spans="1:9" x14ac:dyDescent="0.25">
      <c r="A35" s="1"/>
      <c r="B35" s="44"/>
      <c r="C35" s="45"/>
      <c r="D35" s="45"/>
      <c r="E35" s="45"/>
      <c r="F35" s="45"/>
      <c r="G35" s="45"/>
      <c r="H35" s="46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7" t="s">
        <v>129</v>
      </c>
      <c r="C37" s="98"/>
      <c r="D37" s="98"/>
      <c r="E37" s="98"/>
      <c r="F37" s="98"/>
      <c r="G37" s="98"/>
      <c r="H37" s="99"/>
      <c r="I37" s="1"/>
    </row>
    <row r="38" spans="1:9" x14ac:dyDescent="0.25">
      <c r="A38" s="1"/>
      <c r="B38" s="103" t="s">
        <v>124</v>
      </c>
      <c r="C38" s="104"/>
      <c r="D38" s="104"/>
      <c r="E38" s="104"/>
      <c r="F38" s="105"/>
      <c r="G38" s="25">
        <f>(SUM(G30,G33)-G34)*(1+'Fane 15. Nøgletal'!C12)</f>
        <v>5448735.9877417386</v>
      </c>
      <c r="H38" s="14" t="s">
        <v>3</v>
      </c>
      <c r="I38" s="1"/>
    </row>
    <row r="39" spans="1:9" x14ac:dyDescent="0.25">
      <c r="A39" s="1"/>
      <c r="B39" s="103" t="s">
        <v>154</v>
      </c>
      <c r="C39" s="104"/>
      <c r="D39" s="104"/>
      <c r="E39" s="104"/>
      <c r="F39" s="105"/>
      <c r="G39" s="25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3" t="s">
        <v>121</v>
      </c>
      <c r="C40" s="104"/>
      <c r="D40" s="104"/>
      <c r="E40" s="104"/>
      <c r="F40" s="105"/>
      <c r="G40" s="25">
        <f>(G38+G39)*'Fane 15. Nøgletal'!C20</f>
        <v>154744.1020518654</v>
      </c>
      <c r="H40" s="14" t="s">
        <v>3</v>
      </c>
      <c r="I40" s="1"/>
    </row>
    <row r="41" spans="1:9" x14ac:dyDescent="0.25">
      <c r="A41" s="1"/>
      <c r="B41" s="44"/>
      <c r="C41" s="45"/>
      <c r="D41" s="45"/>
      <c r="E41" s="45"/>
      <c r="F41" s="45"/>
      <c r="G41" s="45"/>
      <c r="H41" s="46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7" t="s">
        <v>130</v>
      </c>
      <c r="C43" s="98"/>
      <c r="D43" s="98"/>
      <c r="E43" s="98"/>
      <c r="F43" s="98"/>
      <c r="G43" s="98"/>
      <c r="H43" s="99"/>
      <c r="I43" s="1"/>
    </row>
    <row r="44" spans="1:9" x14ac:dyDescent="0.25">
      <c r="A44" s="1"/>
      <c r="B44" s="103" t="s">
        <v>123</v>
      </c>
      <c r="C44" s="104"/>
      <c r="D44" s="104"/>
      <c r="E44" s="104"/>
      <c r="F44" s="105"/>
      <c r="G44" s="25">
        <f>(G38+G39-G40)*(1+'Fane 15. Nøgletal'!C12)</f>
        <v>5398283.5258379644</v>
      </c>
      <c r="H44" s="14" t="s">
        <v>3</v>
      </c>
      <c r="I44" s="1"/>
    </row>
    <row r="45" spans="1:9" x14ac:dyDescent="0.25">
      <c r="A45" s="1"/>
      <c r="B45" s="103" t="s">
        <v>155</v>
      </c>
      <c r="C45" s="104"/>
      <c r="D45" s="104"/>
      <c r="E45" s="104"/>
      <c r="F45" s="105"/>
      <c r="G45" s="25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3" t="s">
        <v>122</v>
      </c>
      <c r="C46" s="104"/>
      <c r="D46" s="104"/>
      <c r="E46" s="104"/>
      <c r="F46" s="105"/>
      <c r="G46" s="25">
        <f>(G44+G45)*'Fane 15. Nøgletal'!C20</f>
        <v>153311.2521337982</v>
      </c>
      <c r="H46" s="14" t="s">
        <v>3</v>
      </c>
      <c r="I46" s="1"/>
    </row>
    <row r="47" spans="1:9" x14ac:dyDescent="0.25">
      <c r="A47" s="1"/>
      <c r="B47" s="44"/>
      <c r="C47" s="45"/>
      <c r="D47" s="45"/>
      <c r="E47" s="45"/>
      <c r="F47" s="45"/>
      <c r="G47" s="45"/>
      <c r="H47" s="46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mQ9VeY2WiHuhBm7mzMPJQ39HSmiB8THiUaS3B90vHPCvOC9eFFu1b6oayxkIkGOf3HPmr3PE5lEeafxjhN+dg==" saltValue="BCxnnjXgBhSjP8dLVCz0iw==" spinCount="100000" sheet="1" objects="1" scenarios="1"/>
  <mergeCells count="32"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131</v>
      </c>
      <c r="C9" s="104"/>
      <c r="D9" s="104"/>
      <c r="E9" s="104"/>
      <c r="F9" s="105"/>
      <c r="G9" s="24">
        <v>0</v>
      </c>
      <c r="H9" s="14"/>
      <c r="I9" s="1"/>
    </row>
    <row r="10" spans="1:9" x14ac:dyDescent="0.25">
      <c r="A10" s="1"/>
      <c r="B10" s="103" t="s">
        <v>202</v>
      </c>
      <c r="C10" s="104"/>
      <c r="D10" s="104"/>
      <c r="E10" s="104"/>
      <c r="F10" s="105"/>
      <c r="G10" s="24">
        <v>0</v>
      </c>
      <c r="H10" s="14"/>
      <c r="I10" s="1"/>
    </row>
    <row r="11" spans="1:9" x14ac:dyDescent="0.25">
      <c r="A11" s="1"/>
      <c r="B11" s="44"/>
      <c r="C11" s="45"/>
      <c r="D11" s="45"/>
      <c r="E11" s="45"/>
      <c r="F11" s="45"/>
      <c r="G11" s="45"/>
      <c r="H11" s="46"/>
      <c r="I11" s="1"/>
    </row>
    <row r="12" spans="1:9" ht="40.5" customHeight="1" x14ac:dyDescent="0.25">
      <c r="A12" s="1"/>
      <c r="B12" s="81" t="s">
        <v>212</v>
      </c>
      <c r="C12" s="82"/>
      <c r="D12" s="82"/>
      <c r="E12" s="82"/>
      <c r="F12" s="82"/>
      <c r="G12" s="82"/>
      <c r="H12" s="83"/>
      <c r="I12" s="1"/>
    </row>
    <row r="13" spans="1:9" ht="30.75" customHeight="1" x14ac:dyDescent="0.25">
      <c r="A13" s="20"/>
      <c r="B13" s="111"/>
      <c r="C13" s="111"/>
      <c r="D13" s="111"/>
      <c r="E13" s="111"/>
      <c r="F13" s="111"/>
      <c r="G13" s="111"/>
      <c r="H13" s="111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APjVClfDIu2fYvDN/vwnqcGPrq2cradfDUclRsdsGUvkRhO/8wl5PX21ouNF0ciKYLe7dvAOo12hfBMy4nzdzA==" saltValue="DzCG5co6TNJwUqq9peJPfQ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2019-09-10T08:03:41Z</dcterms:modified>
</cp:coreProperties>
</file>