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illerød Vand AS (V081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55" i="11" l="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56" i="11" l="1"/>
  <c r="E57" i="11"/>
  <c r="E10" i="11"/>
  <c r="E18" i="32" l="1"/>
  <c r="E9" i="32"/>
  <c r="E9" i="40" l="1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2" i="32" s="1"/>
  <c r="E37" i="32" l="1"/>
  <c r="E39" i="32" s="1"/>
  <c r="C24" i="15" s="1"/>
  <c r="C23" i="22" s="1"/>
  <c r="C30" i="2"/>
  <c r="F58" i="11" l="1"/>
  <c r="C10" i="37" s="1"/>
  <c r="C12" i="37" s="1"/>
  <c r="C13" i="37" s="1"/>
  <c r="C10" i="2" s="1"/>
  <c r="G58" i="11"/>
  <c r="E11" i="21" l="1"/>
  <c r="C11" i="21"/>
  <c r="E11" i="29"/>
  <c r="C11" i="29"/>
  <c r="C16" i="19"/>
  <c r="C17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58" i="11"/>
  <c r="E10" i="37" s="1"/>
  <c r="E12" i="37" s="1"/>
  <c r="E13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<sst xmlns="http://schemas.openxmlformats.org/spreadsheetml/2006/main" count="692" uniqueCount="289">
  <si>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</si>
  <si>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</si>
  <si>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</si>
  <si>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</si>
  <si>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</si>
  <si>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</si>
  <si>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</si>
  <si>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</si>
  <si>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</si>
  <si>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</si>
  <si>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</si>
  <si>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</si>
  <si>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</si>
  <si>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</si>
  <si>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</si>
  <si>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</si>
  <si>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</si>
  <si>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</si>
  <si>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</si>
  <si>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</si>
  <si>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</si>
  <si>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</si>
  <si>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</si>
  <si>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</si>
  <si>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</si>
  <si>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</si>
  <si>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</si>
  <si>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</si>
  <si>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</si>
  <si>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</si>
  <si>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</si>
  <si>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</si>
  <si>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</si>
  <si>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</si>
  <si>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</si>
  <si>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</si>
  <si>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</si>
  <si>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</si>
  <si>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</si>
  <si>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</si>
  <si>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</si>
  <si>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</si>
  <si>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</si>
  <si>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</si>
  <si>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</si>
  <si>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</si>
  <si>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</si>
  <si>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</si>
  <si>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</si>
  <si>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</si>
  <si>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</si>
  <si>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</si>
  <si>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</si>
  <si>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</si>
  <si>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</si>
  <si>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</si>
  <si>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</si>
  <si>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</si>
  <si>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</si>
  <si>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</si>
  <si>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</si>
  <si>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</si>
  <si>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</si>
  <si>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</si>
  <si>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</si>
  <si>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</si>
  <si>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</si>
  <si>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</si>
  <si>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</si>
  <si>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</si>
  <si>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</si>
  <si>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</si>
  <si>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</si>
  <si>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</si>
  <si>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</si>
  <si>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</si>
  <si>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</si>
  <si>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</si>
  <si>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</si>
  <si>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</si>
  <si>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</si>
  <si>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</si>
  <si>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</si>
  <si>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</si>
  <si>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</si>
  <si>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</si>
  <si>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</si>
  <si>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</si>
  <si>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</si>
  <si>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</si>
  <si>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</si>
  <si>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</si>
  <si>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</si>
  <si>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</si>
  <si>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</si>
  <si>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</si>
  <si>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</si>
  <si>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</si>
  <si>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</si>
  <si>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</si>
  <si>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</si>
  <si>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</si>
  <si>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</si>
  <si>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</si>
  <si>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</si>
  <si>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</si>
  <si>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</si>
  <si>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</si>
  <si>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</si>
  <si>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</si>
  <si>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</si>
  <si>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</si>
  <si>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</si>
  <si>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</si>
  <si>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</si>
  <si>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</si>
  <si>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</si>
  <si>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</si>
  <si>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</si>
  <si>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</si>
  <si>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</si>
  <si>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</si>
  <si>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</si>
  <si>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</si>
  <si>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</si>
  <si>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</si>
  <si>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</si>
  <si>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</si>
  <si>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</si>
  <si>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</si>
  <si>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</si>
  <si>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</si>
  <si>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</si>
  <si>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</si>
  <si>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</si>
  <si>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</si>
  <si>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</si>
  <si>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</si>
  <si>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</si>
  <si>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</si>
  <si>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</si>
  <si>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</si>
  <si>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</si>
  <si>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</si>
  <si>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</si>
  <si>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</si>
  <si>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</si>
  <si>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</si>
  <si>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</si>
  <si>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</si>
  <si>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</si>
  <si>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</si>
  <si>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</si>
  <si>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</si>
  <si>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</si>
  <si>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</si>
  <si>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</si>
  <si>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</si>
  <si>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</si>
  <si>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</si>
  <si>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</si>
  <si>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</si>
  <si>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</si>
  <si>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</si>
  <si>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</si>
  <si>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</si>
  <si>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</si>
  <si>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</si>
  <si>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</si>
  <si>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</si>
  <si>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</si>
  <si>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</si>
  <si>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</si>
  <si>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</si>
  <si>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</si>
  <si>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</si>
  <si>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</si>
  <si>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</si>
  <si>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</si>
  <si>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</si>
  <si>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</si>
  <si>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</si>
  <si>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</si>
  <si>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</si>
  <si>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</si>
  <si>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</si>
  <si>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</si>
  <si>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</si>
  <si>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</si>
  <si>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</si>
  <si>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</si>
  <si>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</si>
  <si>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</si>
  <si>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</si>
  <si>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</si>
  <si>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</si>
  <si>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</si>
  <si>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</si>
  <si>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</si>
  <si>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</si>
  <si>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</si>
  <si>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</si>
  <si>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</si>
  <si>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</si>
  <si>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</si>
  <si>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</si>
  <si>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</si>
  <si>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</si>
  <si>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</si>
  <si>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</si>
  <si>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</si>
  <si>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</si>
  <si>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</si>
  <si>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</si>
  <si>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</si>
  <si>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</si>
  <si>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</si>
  <si>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</si>
  <si>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</si>
  <si>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</si>
  <si>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</si>
  <si>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</si>
  <si>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</si>
  <si>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</si>
  <si>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</si>
  <si>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</si>
  <si>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</si>
  <si>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</si>
  <si>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</si>
  <si>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</si>
  <si>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</si>
  <si>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</si>
  <si>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</si>
  <si>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</si>
  <si>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Nye tilslutninger</t>
  </si>
  <si>
    <t>Ingen engangstillæg</t>
  </si>
  <si>
    <t>Afregningsmålere, elektroniske ≤ Ø 110mm (Qn 10)</t>
  </si>
  <si>
    <t>Byggemodning Solrødgård, hotspots</t>
  </si>
  <si>
    <t>KMC Solrødgård, CTS-anlæg</t>
  </si>
  <si>
    <t>KMC Solrødgård, it</t>
  </si>
  <si>
    <t>KMC Solrødgård, grønt tag</t>
  </si>
  <si>
    <t>Byggemodning Solrødgård, sti nr. 1, 5, 15, 16, 17, 18</t>
  </si>
  <si>
    <t>Byggemodning Solrødgård, sti nr. 2</t>
  </si>
  <si>
    <t>Byggemodning Solrødgård, sti nr. 6 og 11</t>
  </si>
  <si>
    <t>Byggemodning Solrødgård, sti nr. 7</t>
  </si>
  <si>
    <t>Byggemodning Solrødgård, sti nr. 8 og 9</t>
  </si>
  <si>
    <t>Byggemodning Solrødgård, sti nr. 12 og 14</t>
  </si>
  <si>
    <t>Byggemodning Solrødgård, stamvej</t>
  </si>
  <si>
    <t>KMC Solrødgård, inventar</t>
  </si>
  <si>
    <t>Byggemodning Solrødgård, belysning</t>
  </si>
  <si>
    <t>Byggemodning Solrødgård, elledninger</t>
  </si>
  <si>
    <t>Byggemodning Solrødgård, lyssignaler</t>
  </si>
  <si>
    <t>Byggemodning Solrødgård, vejbelysning</t>
  </si>
  <si>
    <t>KMC Solrødgård, facade</t>
  </si>
  <si>
    <t>KMC Solrødgård, tag</t>
  </si>
  <si>
    <t>KMC Solrødgård, gulve</t>
  </si>
  <si>
    <t>KMC Solrødgård, vinduer og døre</t>
  </si>
  <si>
    <t>KMC Solrødgård, sprinkler</t>
  </si>
  <si>
    <t>KMC Solrødgård, VVS</t>
  </si>
  <si>
    <t>KMC Solrødgård, el</t>
  </si>
  <si>
    <t>KMC Solrødgård, ventilation</t>
  </si>
  <si>
    <t>KMC Solrødgård, indvendige vægge og lofter</t>
  </si>
  <si>
    <t>Byggemodning Solrødgård, beplantning</t>
  </si>
  <si>
    <t>Byggemodning Solrødgård, varmeledninger</t>
  </si>
  <si>
    <t>Byggemodning Solrødgård, fugletårn</t>
  </si>
  <si>
    <t>Byggemodning Solrødgård, flagermushotel</t>
  </si>
  <si>
    <t>KMC Solrødgård, udearealer</t>
  </si>
  <si>
    <t>Inspektionsbrønd, Konstruktioner</t>
  </si>
  <si>
    <t>Byggemodning Solrødgård, bro nr. 1</t>
  </si>
  <si>
    <t>Byggemodning Solrødgård, bro nr. 2</t>
  </si>
  <si>
    <t>Byggemodning Solrødgård, bro nr. 3</t>
  </si>
  <si>
    <t>Byggemodning Solrødgård, bro nr. 4</t>
  </si>
  <si>
    <t>Byggemodning Solrødgård, bro nr. 5</t>
  </si>
  <si>
    <t>Byggemodning Solrødgård, bro nr. 6</t>
  </si>
  <si>
    <t>Byggemodning Solrødgård, bro nr. 7</t>
  </si>
  <si>
    <t>Ø 250 mm &lt; Ledningsnet ≤ Ø 500mm</t>
  </si>
  <si>
    <t>Ø110 mm &lt; Ledningsnet ≤ Ø 250 mm</t>
  </si>
  <si>
    <t>Ventiler på Ø 50mm &lt; Ledningsnet ≤ Ø110 mm</t>
  </si>
  <si>
    <t>Administrationbygninger</t>
  </si>
  <si>
    <t>Byggemodning Solrødgård, brønde</t>
  </si>
  <si>
    <t>Anlægsprojekter igangsat senest 1. marts 2016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</si>
  <si>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</si>
  <si>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</si>
  <si>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</si>
  <si>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</si>
  <si>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Selskabsskatter</t>
  </si>
  <si>
    <t>Tjenestemandspensioner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</si>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</sst>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1" t="s">
        <v>192</v>
      </c>
      <c r="E8" s="71"/>
      <c r="F8" s="71"/>
      <c r="G8" s="7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0" t="s">
        <v>5</v>
      </c>
      <c r="E11" s="70"/>
      <c r="F11" s="70"/>
      <c r="G11" s="7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56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22</v>
      </c>
      <c r="D14" s="66" t="s">
        <v>177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55</v>
      </c>
      <c r="D15" s="66" t="s">
        <v>133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57</v>
      </c>
      <c r="D16" s="66" t="s">
        <v>134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224</v>
      </c>
      <c r="D17" s="66" t="s">
        <v>66</v>
      </c>
      <c r="E17" s="67"/>
      <c r="F17" s="67"/>
      <c r="G17" s="68"/>
      <c r="H17" s="1"/>
      <c r="I17" s="1"/>
    </row>
    <row r="18" spans="1:9" x14ac:dyDescent="0.25">
      <c r="A18" s="1"/>
      <c r="B18" s="1"/>
      <c r="C18" s="34" t="s">
        <v>196</v>
      </c>
      <c r="D18" s="72" t="s">
        <v>162</v>
      </c>
      <c r="E18" s="73"/>
      <c r="F18" s="73"/>
      <c r="G18" s="74"/>
      <c r="H18" s="1"/>
      <c r="I18" s="1"/>
    </row>
    <row r="19" spans="1:9" x14ac:dyDescent="0.25">
      <c r="A19" s="1"/>
      <c r="B19" s="1"/>
      <c r="C19" s="34" t="s">
        <v>197</v>
      </c>
      <c r="D19" s="72" t="s">
        <v>163</v>
      </c>
      <c r="E19" s="73"/>
      <c r="F19" s="73"/>
      <c r="G19" s="74"/>
      <c r="H19" s="1"/>
      <c r="I19" s="1"/>
    </row>
    <row r="20" spans="1:9" x14ac:dyDescent="0.25">
      <c r="A20" s="1"/>
      <c r="B20" s="1"/>
      <c r="C20" s="34" t="s">
        <v>7</v>
      </c>
      <c r="D20" s="72" t="s">
        <v>10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198</v>
      </c>
      <c r="D21" s="63" t="s">
        <v>17</v>
      </c>
      <c r="E21" s="64"/>
      <c r="F21" s="64"/>
      <c r="G21" s="65"/>
      <c r="H21" s="1"/>
      <c r="I21" s="1"/>
    </row>
    <row r="22" spans="1:9" x14ac:dyDescent="0.25">
      <c r="A22" s="1"/>
      <c r="B22" s="1"/>
      <c r="C22" s="6" t="s">
        <v>140</v>
      </c>
      <c r="D22" s="57" t="s">
        <v>161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225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58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199</v>
      </c>
      <c r="D25" s="57" t="s">
        <v>141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200</v>
      </c>
      <c r="D26" s="57" t="s">
        <v>142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201</v>
      </c>
      <c r="D27" s="57" t="s">
        <v>59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183</v>
      </c>
      <c r="D28" s="57" t="s">
        <v>60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61</v>
      </c>
      <c r="D29" s="54" t="s">
        <v>11</v>
      </c>
      <c r="E29" s="55"/>
      <c r="F29" s="55"/>
      <c r="G29" s="56"/>
      <c r="H29" s="1"/>
      <c r="I29" s="1"/>
    </row>
    <row r="30" spans="1:9" x14ac:dyDescent="0.25">
      <c r="A30" s="1"/>
      <c r="B30" s="1"/>
      <c r="C30" s="6" t="s">
        <v>62</v>
      </c>
      <c r="D30" s="60" t="s">
        <v>184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WzwIbFq98ID4VgJkPf/X7xfA7c2g3hLr4DghXX+XF3Zrq0D8pVyJ97iMcH9viNleQaXBUH2tllYlpX91ier3ZQ==" saltValue="unv/IldFwugYny/l3k3QJQ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204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8" t="s">
        <v>69</v>
      </c>
      <c r="C8" s="99"/>
      <c r="D8" s="100"/>
      <c r="E8" s="1"/>
      <c r="F8" s="1"/>
    </row>
    <row r="9" spans="1:6" ht="15" customHeight="1" x14ac:dyDescent="0.25">
      <c r="A9" s="1"/>
      <c r="B9" s="39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281</v>
      </c>
      <c r="C10" s="9">
        <v>10799519</v>
      </c>
      <c r="D10" s="14" t="s">
        <v>3</v>
      </c>
      <c r="E10" s="1"/>
      <c r="F10" s="1"/>
    </row>
    <row r="11" spans="1:6" x14ac:dyDescent="0.25">
      <c r="A11" s="1"/>
      <c r="B11" s="48" t="s">
        <v>282</v>
      </c>
      <c r="C11" s="9">
        <v>44899</v>
      </c>
      <c r="D11" s="14" t="s">
        <v>3</v>
      </c>
      <c r="E11" s="1"/>
      <c r="F11" s="1"/>
    </row>
    <row r="12" spans="1:6" ht="26.25" x14ac:dyDescent="0.25">
      <c r="A12" s="1"/>
      <c r="B12" s="45" t="s">
        <v>283</v>
      </c>
      <c r="C12" s="9">
        <v>494810</v>
      </c>
      <c r="D12" s="14" t="s">
        <v>3</v>
      </c>
      <c r="E12" s="1"/>
      <c r="F12" s="1"/>
    </row>
    <row r="13" spans="1:6" x14ac:dyDescent="0.25">
      <c r="A13" s="1"/>
      <c r="B13" s="45" t="s">
        <v>284</v>
      </c>
      <c r="C13" s="9">
        <v>136275</v>
      </c>
      <c r="D13" s="14" t="s">
        <v>3</v>
      </c>
      <c r="E13" s="1"/>
      <c r="F13" s="1"/>
    </row>
    <row r="14" spans="1:6" x14ac:dyDescent="0.25">
      <c r="A14" s="1"/>
      <c r="B14" s="45" t="s">
        <v>285</v>
      </c>
      <c r="C14" s="9">
        <v>989411</v>
      </c>
      <c r="D14" s="14" t="s">
        <v>3</v>
      </c>
      <c r="E14" s="1"/>
      <c r="F14" s="1"/>
    </row>
    <row r="15" spans="1:6" x14ac:dyDescent="0.25">
      <c r="A15" s="1"/>
      <c r="B15" s="48" t="s">
        <v>286</v>
      </c>
      <c r="C15" s="9">
        <v>28460</v>
      </c>
      <c r="D15" s="14" t="s">
        <v>3</v>
      </c>
      <c r="E15" s="1"/>
      <c r="F15" s="1"/>
    </row>
    <row r="16" spans="1:6" x14ac:dyDescent="0.25">
      <c r="A16" s="1"/>
      <c r="B16" s="46" t="s">
        <v>71</v>
      </c>
      <c r="C16" s="12">
        <f>SUM(C10:C15)</f>
        <v>12493374</v>
      </c>
      <c r="D16" s="13" t="s">
        <v>3</v>
      </c>
      <c r="E16" s="1"/>
      <c r="F16" s="1"/>
    </row>
    <row r="17" spans="1:6" x14ac:dyDescent="0.25">
      <c r="A17" s="1"/>
      <c r="B17" s="46" t="s">
        <v>72</v>
      </c>
      <c r="C17" s="12">
        <f>C16*(1+'Fane 14. Nøgletal'!C12)^2</f>
        <v>12990461.489115661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oJyjuIqEph/wCQyacCjfjKIOf0CbduQxTXG4NPPpvznc7HB/0yFRhkLR4sEpDVIU+VH5K8UFdcnT3wUnCX5+bg==" saltValue="8A6JyPgXIGFXIUbjCEOu5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5" t="s">
        <v>205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ht="15" customHeight="1" x14ac:dyDescent="0.25">
      <c r="A5" s="1"/>
      <c r="B5" s="44"/>
      <c r="C5" s="44"/>
      <c r="D5" s="44"/>
      <c r="E5" s="44"/>
      <c r="F5" s="44"/>
      <c r="G5" s="1"/>
    </row>
    <row r="6" spans="1:7" ht="15" customHeight="1" x14ac:dyDescent="0.25">
      <c r="A6" s="1"/>
      <c r="B6" s="98" t="s">
        <v>52</v>
      </c>
      <c r="C6" s="99"/>
      <c r="D6" s="99"/>
      <c r="E6" s="99"/>
      <c r="F6" s="100"/>
      <c r="G6" s="1"/>
    </row>
    <row r="7" spans="1:7" ht="15" customHeight="1" x14ac:dyDescent="0.25">
      <c r="A7" s="1"/>
      <c r="B7" s="101" t="s">
        <v>50</v>
      </c>
      <c r="C7" s="102"/>
      <c r="D7" s="103"/>
      <c r="E7" s="9">
        <v>1627264.7829666666</v>
      </c>
      <c r="F7" s="14" t="s">
        <v>3</v>
      </c>
      <c r="G7" s="1"/>
    </row>
    <row r="8" spans="1:7" ht="15" customHeight="1" x14ac:dyDescent="0.25">
      <c r="A8" s="1"/>
      <c r="B8" s="101" t="s">
        <v>51</v>
      </c>
      <c r="C8" s="102"/>
      <c r="D8" s="103"/>
      <c r="E8" s="9">
        <v>-1924317.52648736</v>
      </c>
      <c r="F8" s="14" t="s">
        <v>3</v>
      </c>
      <c r="G8" s="1"/>
    </row>
    <row r="9" spans="1:7" ht="15" customHeight="1" x14ac:dyDescent="0.25">
      <c r="A9" s="1"/>
      <c r="B9" s="109" t="s">
        <v>186</v>
      </c>
      <c r="C9" s="110"/>
      <c r="D9" s="111"/>
      <c r="E9" s="10">
        <f>SUM(E7:E8)</f>
        <v>-297052.74352069339</v>
      </c>
      <c r="F9" s="17" t="s">
        <v>3</v>
      </c>
      <c r="G9" s="1"/>
    </row>
    <row r="10" spans="1:7" ht="15" customHeight="1" x14ac:dyDescent="0.25">
      <c r="A10" s="1"/>
      <c r="B10" s="46"/>
      <c r="C10" s="47"/>
      <c r="D10" s="47"/>
      <c r="E10" s="47"/>
      <c r="F10" s="22"/>
      <c r="G10" s="1"/>
    </row>
    <row r="11" spans="1:7" ht="28.5" customHeight="1" x14ac:dyDescent="0.25">
      <c r="A11" s="1"/>
      <c r="B11" s="89" t="s">
        <v>188</v>
      </c>
      <c r="C11" s="90"/>
      <c r="D11" s="90"/>
      <c r="E11" s="90"/>
      <c r="F11" s="9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165</v>
      </c>
      <c r="C14" s="99"/>
      <c r="D14" s="99"/>
      <c r="E14" s="99"/>
      <c r="F14" s="100"/>
      <c r="G14" s="1"/>
    </row>
    <row r="15" spans="1:7" x14ac:dyDescent="0.25">
      <c r="A15" s="1"/>
      <c r="B15" s="101" t="s">
        <v>166</v>
      </c>
      <c r="C15" s="102"/>
      <c r="D15" s="103"/>
      <c r="E15" s="9">
        <v>38411139.919992752</v>
      </c>
      <c r="F15" s="14" t="s">
        <v>3</v>
      </c>
      <c r="G15" s="1"/>
    </row>
    <row r="16" spans="1:7" x14ac:dyDescent="0.25">
      <c r="A16" s="1"/>
      <c r="B16" s="101" t="s">
        <v>167</v>
      </c>
      <c r="C16" s="102"/>
      <c r="D16" s="103"/>
      <c r="E16" s="9">
        <v>39642920</v>
      </c>
      <c r="F16" s="14" t="s">
        <v>3</v>
      </c>
      <c r="G16" s="1"/>
    </row>
    <row r="17" spans="1:7" x14ac:dyDescent="0.25">
      <c r="A17" s="1"/>
      <c r="B17" s="101" t="s">
        <v>49</v>
      </c>
      <c r="C17" s="102"/>
      <c r="D17" s="103"/>
      <c r="E17" s="9">
        <v>211211</v>
      </c>
      <c r="F17" s="14" t="s">
        <v>3</v>
      </c>
      <c r="G17" s="1"/>
    </row>
    <row r="18" spans="1:7" x14ac:dyDescent="0.25">
      <c r="A18" s="1"/>
      <c r="B18" s="109" t="s">
        <v>187</v>
      </c>
      <c r="C18" s="110"/>
      <c r="D18" s="111"/>
      <c r="E18" s="10">
        <f>E15-(E16-E17)</f>
        <v>-1020569.0800072476</v>
      </c>
      <c r="F18" s="17" t="s">
        <v>3</v>
      </c>
      <c r="G18" s="1"/>
    </row>
    <row r="19" spans="1:7" x14ac:dyDescent="0.25">
      <c r="A19" s="1"/>
      <c r="B19" s="46"/>
      <c r="C19" s="47"/>
      <c r="D19" s="47"/>
      <c r="E19" s="47"/>
      <c r="F19" s="22"/>
      <c r="G19" s="1"/>
    </row>
    <row r="20" spans="1:7" ht="30" customHeight="1" x14ac:dyDescent="0.25">
      <c r="A20" s="1"/>
      <c r="B20" s="89" t="s">
        <v>189</v>
      </c>
      <c r="C20" s="90"/>
      <c r="D20" s="90"/>
      <c r="E20" s="90"/>
      <c r="F20" s="9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8" t="s">
        <v>77</v>
      </c>
      <c r="C23" s="99"/>
      <c r="D23" s="99"/>
      <c r="E23" s="99"/>
      <c r="F23" s="100"/>
      <c r="G23" s="1"/>
    </row>
    <row r="24" spans="1:7" x14ac:dyDescent="0.25">
      <c r="A24" s="1"/>
      <c r="B24" s="101" t="s">
        <v>78</v>
      </c>
      <c r="C24" s="102"/>
      <c r="D24" s="103"/>
      <c r="E24" s="9">
        <v>36424929.039763592</v>
      </c>
      <c r="F24" s="14" t="s">
        <v>3</v>
      </c>
      <c r="G24" s="1"/>
    </row>
    <row r="25" spans="1:7" x14ac:dyDescent="0.25">
      <c r="A25" s="1"/>
      <c r="B25" s="101" t="s">
        <v>79</v>
      </c>
      <c r="C25" s="102"/>
      <c r="D25" s="103"/>
      <c r="E25" s="9">
        <v>37739498</v>
      </c>
      <c r="F25" s="14" t="s">
        <v>3</v>
      </c>
      <c r="G25" s="1"/>
    </row>
    <row r="26" spans="1:7" x14ac:dyDescent="0.25">
      <c r="A26" s="1"/>
      <c r="B26" s="101" t="s">
        <v>49</v>
      </c>
      <c r="C26" s="102"/>
      <c r="D26" s="103"/>
      <c r="E26" s="9">
        <v>0</v>
      </c>
      <c r="F26" s="14" t="s">
        <v>3</v>
      </c>
      <c r="G26" s="1"/>
    </row>
    <row r="27" spans="1:7" x14ac:dyDescent="0.25">
      <c r="A27" s="1"/>
      <c r="B27" s="109" t="s">
        <v>187</v>
      </c>
      <c r="C27" s="110"/>
      <c r="D27" s="111"/>
      <c r="E27" s="10">
        <f>E24-(E25-E26)</f>
        <v>-1314568.9602364078</v>
      </c>
      <c r="F27" s="17" t="s">
        <v>3</v>
      </c>
      <c r="G27" s="1"/>
    </row>
    <row r="28" spans="1:7" x14ac:dyDescent="0.25">
      <c r="A28" s="1"/>
      <c r="B28" s="46"/>
      <c r="C28" s="47"/>
      <c r="D28" s="47"/>
      <c r="E28" s="47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8" t="s">
        <v>287</v>
      </c>
      <c r="C31" s="99"/>
      <c r="D31" s="99"/>
      <c r="E31" s="99"/>
      <c r="F31" s="100"/>
      <c r="G31" s="1"/>
    </row>
    <row r="32" spans="1:7" x14ac:dyDescent="0.25">
      <c r="A32" s="1"/>
      <c r="B32" s="109" t="s">
        <v>288</v>
      </c>
      <c r="C32" s="110"/>
      <c r="D32" s="111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-658810.91176397051</v>
      </c>
      <c r="F32" s="17" t="s">
        <v>3</v>
      </c>
      <c r="G32" s="1"/>
    </row>
    <row r="33" spans="1:7" x14ac:dyDescent="0.25">
      <c r="A33" s="1"/>
      <c r="B33" s="98"/>
      <c r="C33" s="99"/>
      <c r="D33" s="99"/>
      <c r="E33" s="99"/>
      <c r="F33" s="100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8" t="s">
        <v>180</v>
      </c>
      <c r="C36" s="99"/>
      <c r="D36" s="99"/>
      <c r="E36" s="99"/>
      <c r="F36" s="100"/>
      <c r="G36" s="1"/>
    </row>
    <row r="37" spans="1:7" x14ac:dyDescent="0.25">
      <c r="A37" s="1"/>
      <c r="B37" s="112" t="s">
        <v>53</v>
      </c>
      <c r="C37" s="113"/>
      <c r="D37" s="114"/>
      <c r="E37" s="9">
        <f>IF(AND(E9&gt;0,E18&gt;0),IF(E18+E27&gt;=0,0,IF(E18+E27&lt;0,E18+E27,0)),IF(AND(E9&lt;0,E18&gt;0,ABS(E9)&lt;ABS(E18)),IF(E9+E18+E27&gt;=0,0,IF(E9+E18+E27&lt;0,E9+E18+E27,0)),IF(E27&gt;=0,0,E27)))</f>
        <v>-1314568.9602364078</v>
      </c>
      <c r="F37" s="14" t="s">
        <v>3</v>
      </c>
      <c r="G37" s="1"/>
    </row>
    <row r="38" spans="1:7" x14ac:dyDescent="0.25">
      <c r="A38" s="1"/>
      <c r="B38" s="112" t="s">
        <v>185</v>
      </c>
      <c r="C38" s="113"/>
      <c r="D38" s="114"/>
      <c r="E38" s="9">
        <v>2</v>
      </c>
      <c r="F38" s="14" t="s">
        <v>27</v>
      </c>
      <c r="G38" s="1"/>
    </row>
    <row r="39" spans="1:7" ht="15" customHeight="1" x14ac:dyDescent="0.25">
      <c r="A39" s="1"/>
      <c r="B39" s="109" t="s">
        <v>227</v>
      </c>
      <c r="C39" s="110"/>
      <c r="D39" s="111"/>
      <c r="E39" s="10">
        <f>E37/E38</f>
        <v>-657284.48011820391</v>
      </c>
      <c r="F39" s="17" t="s">
        <v>3</v>
      </c>
      <c r="G39" s="1"/>
    </row>
    <row r="40" spans="1:7" x14ac:dyDescent="0.25">
      <c r="A40" s="1"/>
      <c r="B40" s="98"/>
      <c r="C40" s="99"/>
      <c r="D40" s="99"/>
      <c r="E40" s="99"/>
      <c r="F40" s="100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24M/afo6HBiDChR7quM2AnRU5IrXF/Qeqp0329TG9SD612eYlxGOKn9wzRjikkd0Fs2l6CzTvAhNilNpil1UZg==" saltValue="sHKddAFy1nCbtUPfQ73AsA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5" t="s">
        <v>228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159</v>
      </c>
      <c r="C8" s="99"/>
      <c r="D8" s="99"/>
      <c r="E8" s="99"/>
      <c r="F8" s="99"/>
      <c r="G8" s="1"/>
    </row>
    <row r="9" spans="1:7" ht="29.25" customHeight="1" x14ac:dyDescent="0.25">
      <c r="A9" s="1"/>
      <c r="B9" s="95" t="s">
        <v>164</v>
      </c>
      <c r="C9" s="96"/>
      <c r="D9" s="97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22670.663863462047</v>
      </c>
      <c r="F9" s="11" t="s">
        <v>3</v>
      </c>
      <c r="G9" s="1"/>
    </row>
    <row r="10" spans="1:7" x14ac:dyDescent="0.25">
      <c r="A10" s="1"/>
      <c r="B10" s="46" t="s">
        <v>175</v>
      </c>
      <c r="C10" s="47"/>
      <c r="D10" s="47"/>
      <c r="E10" s="12">
        <f>E9</f>
        <v>22670.663863462047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OeDbKP4AF5a1eTCjN+E0gk6RQGDsJ6FeBK2GL/6Hv3WnKv2617E0kog4Ouf6AHPh8WLq8UxaO3UtlvtzntRdIQ==" saltValue="b0ptRyoPo3se65i/ILj/V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93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229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230</v>
      </c>
      <c r="C8" s="99"/>
      <c r="D8" s="99"/>
      <c r="E8" s="99"/>
      <c r="F8" s="99"/>
      <c r="G8" s="99"/>
      <c r="H8" s="100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1"/>
      <c r="I9" s="1"/>
    </row>
    <row r="10" spans="1:9" ht="39" x14ac:dyDescent="0.25">
      <c r="A10" s="1"/>
      <c r="B10" s="51" t="s">
        <v>236</v>
      </c>
      <c r="C10" s="52">
        <v>10</v>
      </c>
      <c r="D10" s="9">
        <v>261425.59</v>
      </c>
      <c r="E10" s="9">
        <f>IFERROR(D10/C10,0)</f>
        <v>26142.559000000001</v>
      </c>
      <c r="F10" s="9">
        <v>0</v>
      </c>
      <c r="G10" s="9">
        <v>5202.37</v>
      </c>
      <c r="H10" s="14" t="s">
        <v>3</v>
      </c>
      <c r="I10" s="1"/>
    </row>
    <row r="11" spans="1:9" ht="26.25" x14ac:dyDescent="0.25">
      <c r="A11" s="1"/>
      <c r="B11" s="51" t="s">
        <v>237</v>
      </c>
      <c r="C11" s="52">
        <v>10</v>
      </c>
      <c r="D11" s="9">
        <v>41030.14</v>
      </c>
      <c r="E11" s="9">
        <f t="shared" ref="E11:E55" si="0">IFERROR(D11/C11,0)</f>
        <v>4103.0140000000001</v>
      </c>
      <c r="F11" s="9">
        <v>0</v>
      </c>
      <c r="G11" s="9">
        <v>816.5</v>
      </c>
      <c r="H11" s="14" t="s">
        <v>3</v>
      </c>
      <c r="I11" s="1"/>
    </row>
    <row r="12" spans="1:9" ht="26.25" x14ac:dyDescent="0.25">
      <c r="A12" s="1"/>
      <c r="B12" s="51" t="s">
        <v>238</v>
      </c>
      <c r="C12" s="52">
        <v>10</v>
      </c>
      <c r="D12" s="9">
        <v>111961.71</v>
      </c>
      <c r="E12" s="9">
        <f t="shared" si="0"/>
        <v>11196.171</v>
      </c>
      <c r="F12" s="9">
        <v>0</v>
      </c>
      <c r="G12" s="9">
        <v>2228.04</v>
      </c>
      <c r="H12" s="14" t="s">
        <v>3</v>
      </c>
      <c r="I12" s="1"/>
    </row>
    <row r="13" spans="1:9" x14ac:dyDescent="0.25">
      <c r="A13" s="1"/>
      <c r="B13" s="51" t="s">
        <v>239</v>
      </c>
      <c r="C13" s="52">
        <v>10</v>
      </c>
      <c r="D13" s="9">
        <v>104188.94</v>
      </c>
      <c r="E13" s="9">
        <f t="shared" si="0"/>
        <v>10418.894</v>
      </c>
      <c r="F13" s="9">
        <v>0</v>
      </c>
      <c r="G13" s="9">
        <v>2073.36</v>
      </c>
      <c r="H13" s="14" t="s">
        <v>3</v>
      </c>
      <c r="I13" s="1"/>
    </row>
    <row r="14" spans="1:9" x14ac:dyDescent="0.25">
      <c r="A14" s="1"/>
      <c r="B14" s="51" t="s">
        <v>240</v>
      </c>
      <c r="C14" s="52">
        <v>15</v>
      </c>
      <c r="D14" s="9">
        <v>89799.87</v>
      </c>
      <c r="E14" s="9">
        <f t="shared" si="0"/>
        <v>5986.6579999999994</v>
      </c>
      <c r="F14" s="9">
        <v>0</v>
      </c>
      <c r="G14" s="9">
        <v>1787.02</v>
      </c>
      <c r="H14" s="14" t="s">
        <v>3</v>
      </c>
      <c r="I14" s="1"/>
    </row>
    <row r="15" spans="1:9" ht="26.25" x14ac:dyDescent="0.25">
      <c r="A15" s="1"/>
      <c r="B15" s="51" t="s">
        <v>241</v>
      </c>
      <c r="C15" s="52">
        <v>20</v>
      </c>
      <c r="D15" s="9">
        <v>284114.61</v>
      </c>
      <c r="E15" s="9">
        <f t="shared" si="0"/>
        <v>14205.7305</v>
      </c>
      <c r="F15" s="9">
        <v>0</v>
      </c>
      <c r="G15" s="9">
        <v>5653.88</v>
      </c>
      <c r="H15" s="14" t="s">
        <v>3</v>
      </c>
      <c r="I15" s="1"/>
    </row>
    <row r="16" spans="1:9" ht="26.25" x14ac:dyDescent="0.25">
      <c r="A16" s="1"/>
      <c r="B16" s="51" t="s">
        <v>242</v>
      </c>
      <c r="C16" s="52">
        <v>20</v>
      </c>
      <c r="D16" s="9">
        <v>27946</v>
      </c>
      <c r="E16" s="9">
        <f t="shared" si="0"/>
        <v>1397.3</v>
      </c>
      <c r="F16" s="9">
        <v>0</v>
      </c>
      <c r="G16" s="9">
        <v>556.13</v>
      </c>
      <c r="H16" s="14" t="s">
        <v>3</v>
      </c>
      <c r="I16" s="1"/>
    </row>
    <row r="17" spans="1:9" ht="26.25" x14ac:dyDescent="0.25">
      <c r="A17" s="1"/>
      <c r="B17" s="51" t="s">
        <v>243</v>
      </c>
      <c r="C17" s="52">
        <v>20</v>
      </c>
      <c r="D17" s="9">
        <v>253223.26</v>
      </c>
      <c r="E17" s="9">
        <f t="shared" si="0"/>
        <v>12661.163</v>
      </c>
      <c r="F17" s="9">
        <v>0</v>
      </c>
      <c r="G17" s="9">
        <v>5039.1400000000003</v>
      </c>
      <c r="H17" s="14" t="s">
        <v>3</v>
      </c>
      <c r="I17" s="1"/>
    </row>
    <row r="18" spans="1:9" ht="26.25" x14ac:dyDescent="0.25">
      <c r="A18" s="1"/>
      <c r="B18" s="51" t="s">
        <v>244</v>
      </c>
      <c r="C18" s="52">
        <v>20</v>
      </c>
      <c r="D18" s="9">
        <v>47358.69</v>
      </c>
      <c r="E18" s="9">
        <f t="shared" si="0"/>
        <v>2367.9345000000003</v>
      </c>
      <c r="F18" s="9">
        <v>0</v>
      </c>
      <c r="G18" s="9">
        <v>942.44</v>
      </c>
      <c r="H18" s="14" t="s">
        <v>3</v>
      </c>
      <c r="I18" s="1"/>
    </row>
    <row r="19" spans="1:9" ht="26.25" x14ac:dyDescent="0.25">
      <c r="A19" s="1"/>
      <c r="B19" s="51" t="s">
        <v>245</v>
      </c>
      <c r="C19" s="52">
        <v>20</v>
      </c>
      <c r="D19" s="9">
        <v>146669.59</v>
      </c>
      <c r="E19" s="9">
        <f t="shared" si="0"/>
        <v>7333.4794999999995</v>
      </c>
      <c r="F19" s="9">
        <v>0</v>
      </c>
      <c r="G19" s="9">
        <v>2918.72</v>
      </c>
      <c r="H19" s="14" t="s">
        <v>3</v>
      </c>
      <c r="I19" s="1"/>
    </row>
    <row r="20" spans="1:9" ht="26.25" x14ac:dyDescent="0.25">
      <c r="A20" s="1"/>
      <c r="B20" s="51" t="s">
        <v>246</v>
      </c>
      <c r="C20" s="52">
        <v>20</v>
      </c>
      <c r="D20" s="9">
        <v>51024.24</v>
      </c>
      <c r="E20" s="9">
        <f t="shared" si="0"/>
        <v>2551.212</v>
      </c>
      <c r="F20" s="9">
        <v>0</v>
      </c>
      <c r="G20" s="9">
        <v>1015.38</v>
      </c>
      <c r="H20" s="14" t="s">
        <v>3</v>
      </c>
      <c r="I20" s="1"/>
    </row>
    <row r="21" spans="1:9" ht="26.25" x14ac:dyDescent="0.25">
      <c r="A21" s="1"/>
      <c r="B21" s="51" t="s">
        <v>247</v>
      </c>
      <c r="C21" s="52">
        <v>20</v>
      </c>
      <c r="D21" s="9">
        <v>1166262.44</v>
      </c>
      <c r="E21" s="9">
        <f t="shared" si="0"/>
        <v>58313.121999999996</v>
      </c>
      <c r="F21" s="9">
        <v>0</v>
      </c>
      <c r="G21" s="9">
        <v>23208.62</v>
      </c>
      <c r="H21" s="14" t="s">
        <v>3</v>
      </c>
      <c r="I21" s="1"/>
    </row>
    <row r="22" spans="1:9" x14ac:dyDescent="0.25">
      <c r="A22" s="1"/>
      <c r="B22" s="51" t="s">
        <v>248</v>
      </c>
      <c r="C22" s="52">
        <v>20</v>
      </c>
      <c r="D22" s="9">
        <v>261138.8</v>
      </c>
      <c r="E22" s="9">
        <f t="shared" si="0"/>
        <v>13056.939999999999</v>
      </c>
      <c r="F22" s="9">
        <v>0</v>
      </c>
      <c r="G22" s="9">
        <v>5196.66</v>
      </c>
      <c r="H22" s="14" t="s">
        <v>3</v>
      </c>
      <c r="I22" s="1"/>
    </row>
    <row r="23" spans="1:9" ht="26.25" x14ac:dyDescent="0.25">
      <c r="A23" s="1"/>
      <c r="B23" s="51" t="s">
        <v>249</v>
      </c>
      <c r="C23" s="52">
        <v>30</v>
      </c>
      <c r="D23" s="9">
        <v>33443.81</v>
      </c>
      <c r="E23" s="9">
        <f t="shared" si="0"/>
        <v>1114.7936666666667</v>
      </c>
      <c r="F23" s="9">
        <v>0</v>
      </c>
      <c r="G23" s="9">
        <v>665.53</v>
      </c>
      <c r="H23" s="14" t="s">
        <v>3</v>
      </c>
      <c r="I23" s="1"/>
    </row>
    <row r="24" spans="1:9" ht="26.25" x14ac:dyDescent="0.25">
      <c r="A24" s="1"/>
      <c r="B24" s="51" t="s">
        <v>250</v>
      </c>
      <c r="C24" s="52">
        <v>30</v>
      </c>
      <c r="D24" s="9">
        <v>172468.33</v>
      </c>
      <c r="E24" s="9">
        <f t="shared" si="0"/>
        <v>5748.9443333333329</v>
      </c>
      <c r="F24" s="9">
        <v>0</v>
      </c>
      <c r="G24" s="9">
        <v>3432.12</v>
      </c>
      <c r="H24" s="14" t="s">
        <v>3</v>
      </c>
      <c r="I24" s="1"/>
    </row>
    <row r="25" spans="1:9" ht="26.25" x14ac:dyDescent="0.25">
      <c r="A25" s="1"/>
      <c r="B25" s="51" t="s">
        <v>251</v>
      </c>
      <c r="C25" s="52">
        <v>30</v>
      </c>
      <c r="D25" s="9">
        <v>190271.49</v>
      </c>
      <c r="E25" s="9">
        <f t="shared" si="0"/>
        <v>6342.3829999999998</v>
      </c>
      <c r="F25" s="9">
        <v>0</v>
      </c>
      <c r="G25" s="9">
        <v>3786.4</v>
      </c>
      <c r="H25" s="14" t="s">
        <v>3</v>
      </c>
      <c r="I25" s="1"/>
    </row>
    <row r="26" spans="1:9" ht="26.25" x14ac:dyDescent="0.25">
      <c r="A26" s="1"/>
      <c r="B26" s="51" t="s">
        <v>252</v>
      </c>
      <c r="C26" s="52">
        <v>30</v>
      </c>
      <c r="D26" s="9">
        <v>32583.09</v>
      </c>
      <c r="E26" s="9">
        <f t="shared" si="0"/>
        <v>1086.1030000000001</v>
      </c>
      <c r="F26" s="9">
        <v>0</v>
      </c>
      <c r="G26" s="9">
        <v>648.4</v>
      </c>
      <c r="H26" s="14" t="s">
        <v>3</v>
      </c>
      <c r="I26" s="1"/>
    </row>
    <row r="27" spans="1:9" x14ac:dyDescent="0.25">
      <c r="A27" s="1"/>
      <c r="B27" s="51" t="s">
        <v>253</v>
      </c>
      <c r="C27" s="52">
        <v>30</v>
      </c>
      <c r="D27" s="9">
        <v>1400743.46</v>
      </c>
      <c r="E27" s="9">
        <f t="shared" si="0"/>
        <v>46691.448666666663</v>
      </c>
      <c r="F27" s="9">
        <v>0</v>
      </c>
      <c r="G27" s="9">
        <v>27874.79</v>
      </c>
      <c r="H27" s="14" t="s">
        <v>3</v>
      </c>
      <c r="I27" s="1"/>
    </row>
    <row r="28" spans="1:9" x14ac:dyDescent="0.25">
      <c r="A28" s="1"/>
      <c r="B28" s="51" t="s">
        <v>254</v>
      </c>
      <c r="C28" s="52">
        <v>30</v>
      </c>
      <c r="D28" s="9">
        <v>515332.36</v>
      </c>
      <c r="E28" s="9">
        <f t="shared" si="0"/>
        <v>17177.745333333332</v>
      </c>
      <c r="F28" s="9">
        <v>0</v>
      </c>
      <c r="G28" s="9">
        <v>10255.11</v>
      </c>
      <c r="H28" s="14" t="s">
        <v>3</v>
      </c>
      <c r="I28" s="1"/>
    </row>
    <row r="29" spans="1:9" x14ac:dyDescent="0.25">
      <c r="A29" s="1"/>
      <c r="B29" s="51" t="s">
        <v>255</v>
      </c>
      <c r="C29" s="52">
        <v>30</v>
      </c>
      <c r="D29" s="9">
        <v>237020.62</v>
      </c>
      <c r="E29" s="9">
        <f t="shared" si="0"/>
        <v>7900.6873333333333</v>
      </c>
      <c r="F29" s="9">
        <v>0</v>
      </c>
      <c r="G29" s="9">
        <v>4716.71</v>
      </c>
      <c r="H29" s="14" t="s">
        <v>3</v>
      </c>
      <c r="I29" s="1"/>
    </row>
    <row r="30" spans="1:9" ht="26.25" x14ac:dyDescent="0.25">
      <c r="A30" s="1"/>
      <c r="B30" s="51" t="s">
        <v>256</v>
      </c>
      <c r="C30" s="52">
        <v>30</v>
      </c>
      <c r="D30" s="9">
        <v>488372.68</v>
      </c>
      <c r="E30" s="9">
        <f t="shared" si="0"/>
        <v>16279.089333333333</v>
      </c>
      <c r="F30" s="9">
        <v>0</v>
      </c>
      <c r="G30" s="9">
        <v>9718.6200000000008</v>
      </c>
      <c r="H30" s="14" t="s">
        <v>3</v>
      </c>
      <c r="I30" s="1"/>
    </row>
    <row r="31" spans="1:9" x14ac:dyDescent="0.25">
      <c r="A31" s="1"/>
      <c r="B31" s="51" t="s">
        <v>257</v>
      </c>
      <c r="C31" s="52">
        <v>30</v>
      </c>
      <c r="D31" s="9">
        <v>191161.96</v>
      </c>
      <c r="E31" s="9">
        <f t="shared" si="0"/>
        <v>6372.065333333333</v>
      </c>
      <c r="F31" s="9">
        <v>0</v>
      </c>
      <c r="G31" s="9">
        <v>3804.12</v>
      </c>
      <c r="H31" s="14" t="s">
        <v>3</v>
      </c>
      <c r="I31" s="1"/>
    </row>
    <row r="32" spans="1:9" x14ac:dyDescent="0.25">
      <c r="A32" s="1"/>
      <c r="B32" s="51" t="s">
        <v>258</v>
      </c>
      <c r="C32" s="52">
        <v>30</v>
      </c>
      <c r="D32" s="9">
        <v>730401.17</v>
      </c>
      <c r="E32" s="9">
        <f t="shared" si="0"/>
        <v>24346.705666666669</v>
      </c>
      <c r="F32" s="9">
        <v>0</v>
      </c>
      <c r="G32" s="9">
        <v>14534.98</v>
      </c>
      <c r="H32" s="14" t="s">
        <v>3</v>
      </c>
      <c r="I32" s="1"/>
    </row>
    <row r="33" spans="1:9" x14ac:dyDescent="0.25">
      <c r="A33" s="1"/>
      <c r="B33" s="51" t="s">
        <v>259</v>
      </c>
      <c r="C33" s="52">
        <v>30</v>
      </c>
      <c r="D33" s="9">
        <v>1088971.8999999999</v>
      </c>
      <c r="E33" s="9">
        <f t="shared" si="0"/>
        <v>36299.063333333332</v>
      </c>
      <c r="F33" s="9">
        <v>0</v>
      </c>
      <c r="G33" s="9">
        <v>21670.54</v>
      </c>
      <c r="H33" s="14" t="s">
        <v>3</v>
      </c>
      <c r="I33" s="1"/>
    </row>
    <row r="34" spans="1:9" ht="26.25" x14ac:dyDescent="0.25">
      <c r="A34" s="1"/>
      <c r="B34" s="51" t="s">
        <v>260</v>
      </c>
      <c r="C34" s="52">
        <v>30</v>
      </c>
      <c r="D34" s="9">
        <v>639734.52</v>
      </c>
      <c r="E34" s="9">
        <f t="shared" si="0"/>
        <v>21324.484</v>
      </c>
      <c r="F34" s="9">
        <v>0</v>
      </c>
      <c r="G34" s="9">
        <v>12730.72</v>
      </c>
      <c r="H34" s="14" t="s">
        <v>3</v>
      </c>
      <c r="I34" s="1"/>
    </row>
    <row r="35" spans="1:9" ht="26.25" x14ac:dyDescent="0.25">
      <c r="A35" s="1"/>
      <c r="B35" s="51" t="s">
        <v>261</v>
      </c>
      <c r="C35" s="52">
        <v>30</v>
      </c>
      <c r="D35" s="9">
        <v>1066680.42</v>
      </c>
      <c r="E35" s="9">
        <f t="shared" si="0"/>
        <v>35556.013999999996</v>
      </c>
      <c r="F35" s="9">
        <v>0</v>
      </c>
      <c r="G35" s="9">
        <v>21226.94</v>
      </c>
      <c r="H35" s="14" t="s">
        <v>3</v>
      </c>
      <c r="I35" s="1"/>
    </row>
    <row r="36" spans="1:9" ht="26.25" x14ac:dyDescent="0.25">
      <c r="A36" s="1"/>
      <c r="B36" s="51" t="s">
        <v>262</v>
      </c>
      <c r="C36" s="52">
        <v>40</v>
      </c>
      <c r="D36" s="9">
        <v>404060.18</v>
      </c>
      <c r="E36" s="9">
        <f t="shared" si="0"/>
        <v>10101.504499999999</v>
      </c>
      <c r="F36" s="9">
        <v>0</v>
      </c>
      <c r="G36" s="9">
        <v>8040.8</v>
      </c>
      <c r="H36" s="14" t="s">
        <v>3</v>
      </c>
      <c r="I36" s="1"/>
    </row>
    <row r="37" spans="1:9" ht="26.25" x14ac:dyDescent="0.25">
      <c r="A37" s="1"/>
      <c r="B37" s="51" t="s">
        <v>263</v>
      </c>
      <c r="C37" s="52">
        <v>40</v>
      </c>
      <c r="D37" s="9">
        <v>136661.25</v>
      </c>
      <c r="E37" s="9">
        <f t="shared" si="0"/>
        <v>3416.53125</v>
      </c>
      <c r="F37" s="9">
        <v>0</v>
      </c>
      <c r="G37" s="9">
        <v>2719.56</v>
      </c>
      <c r="H37" s="14" t="s">
        <v>3</v>
      </c>
      <c r="I37" s="1"/>
    </row>
    <row r="38" spans="1:9" ht="26.25" x14ac:dyDescent="0.25">
      <c r="A38" s="1"/>
      <c r="B38" s="51" t="s">
        <v>264</v>
      </c>
      <c r="C38" s="52">
        <v>40</v>
      </c>
      <c r="D38" s="9">
        <v>27490.15</v>
      </c>
      <c r="E38" s="9">
        <f t="shared" si="0"/>
        <v>687.25375000000008</v>
      </c>
      <c r="F38" s="9">
        <v>0</v>
      </c>
      <c r="G38" s="9">
        <v>547.04999999999995</v>
      </c>
      <c r="H38" s="14" t="s">
        <v>3</v>
      </c>
      <c r="I38" s="1"/>
    </row>
    <row r="39" spans="1:9" ht="26.25" x14ac:dyDescent="0.25">
      <c r="A39" s="1"/>
      <c r="B39" s="51" t="s">
        <v>265</v>
      </c>
      <c r="C39" s="52">
        <v>40</v>
      </c>
      <c r="D39" s="9">
        <v>62419.199999999997</v>
      </c>
      <c r="E39" s="9">
        <f t="shared" si="0"/>
        <v>1560.48</v>
      </c>
      <c r="F39" s="9">
        <v>0</v>
      </c>
      <c r="G39" s="9">
        <v>1242.1400000000001</v>
      </c>
      <c r="H39" s="14" t="s">
        <v>3</v>
      </c>
      <c r="I39" s="1"/>
    </row>
    <row r="40" spans="1:9" ht="26.25" x14ac:dyDescent="0.25">
      <c r="A40" s="1"/>
      <c r="B40" s="51" t="s">
        <v>266</v>
      </c>
      <c r="C40" s="52">
        <v>40</v>
      </c>
      <c r="D40" s="9">
        <v>872872.87</v>
      </c>
      <c r="E40" s="9">
        <f t="shared" si="0"/>
        <v>21821.821749999999</v>
      </c>
      <c r="F40" s="9">
        <v>0</v>
      </c>
      <c r="G40" s="9">
        <v>17370.169999999998</v>
      </c>
      <c r="H40" s="14" t="s">
        <v>3</v>
      </c>
      <c r="I40" s="1"/>
    </row>
    <row r="41" spans="1:9" ht="26.25" x14ac:dyDescent="0.25">
      <c r="A41" s="1"/>
      <c r="B41" s="51" t="s">
        <v>267</v>
      </c>
      <c r="C41" s="52">
        <v>50</v>
      </c>
      <c r="D41" s="9">
        <v>21731.17</v>
      </c>
      <c r="E41" s="9">
        <f t="shared" si="0"/>
        <v>434.62339999999995</v>
      </c>
      <c r="F41" s="9">
        <v>0</v>
      </c>
      <c r="G41" s="9">
        <v>432.45</v>
      </c>
      <c r="H41" s="14" t="s">
        <v>3</v>
      </c>
      <c r="I41" s="1"/>
    </row>
    <row r="42" spans="1:9" ht="26.25" x14ac:dyDescent="0.25">
      <c r="A42" s="1"/>
      <c r="B42" s="51" t="s">
        <v>268</v>
      </c>
      <c r="C42" s="52">
        <v>50</v>
      </c>
      <c r="D42" s="9">
        <v>83009.5</v>
      </c>
      <c r="E42" s="9">
        <f t="shared" si="0"/>
        <v>1660.19</v>
      </c>
      <c r="F42" s="9">
        <v>0</v>
      </c>
      <c r="G42" s="9">
        <v>1651.89</v>
      </c>
      <c r="H42" s="14" t="s">
        <v>3</v>
      </c>
      <c r="I42" s="1"/>
    </row>
    <row r="43" spans="1:9" ht="26.25" x14ac:dyDescent="0.25">
      <c r="A43" s="1"/>
      <c r="B43" s="51" t="s">
        <v>269</v>
      </c>
      <c r="C43" s="52">
        <v>50</v>
      </c>
      <c r="D43" s="9">
        <v>65829.84</v>
      </c>
      <c r="E43" s="9">
        <f t="shared" si="0"/>
        <v>1316.5968</v>
      </c>
      <c r="F43" s="9">
        <v>0</v>
      </c>
      <c r="G43" s="9">
        <v>1310.01</v>
      </c>
      <c r="H43" s="14" t="s">
        <v>3</v>
      </c>
      <c r="I43" s="1"/>
    </row>
    <row r="44" spans="1:9" ht="26.25" x14ac:dyDescent="0.25">
      <c r="A44" s="1"/>
      <c r="B44" s="51" t="s">
        <v>270</v>
      </c>
      <c r="C44" s="52">
        <v>50</v>
      </c>
      <c r="D44" s="9">
        <v>47870.61</v>
      </c>
      <c r="E44" s="9">
        <f t="shared" si="0"/>
        <v>957.41219999999998</v>
      </c>
      <c r="F44" s="9">
        <v>0</v>
      </c>
      <c r="G44" s="9">
        <v>952.63</v>
      </c>
      <c r="H44" s="14" t="s">
        <v>3</v>
      </c>
      <c r="I44" s="1"/>
    </row>
    <row r="45" spans="1:9" ht="26.25" x14ac:dyDescent="0.25">
      <c r="A45" s="1"/>
      <c r="B45" s="51" t="s">
        <v>271</v>
      </c>
      <c r="C45" s="52">
        <v>50</v>
      </c>
      <c r="D45" s="9">
        <v>9092.7900000000009</v>
      </c>
      <c r="E45" s="9">
        <f t="shared" si="0"/>
        <v>181.85580000000002</v>
      </c>
      <c r="F45" s="9">
        <v>0</v>
      </c>
      <c r="G45" s="9">
        <v>180.95</v>
      </c>
      <c r="H45" s="14" t="s">
        <v>3</v>
      </c>
      <c r="I45" s="1"/>
    </row>
    <row r="46" spans="1:9" ht="26.25" x14ac:dyDescent="0.25">
      <c r="A46" s="1"/>
      <c r="B46" s="51" t="s">
        <v>272</v>
      </c>
      <c r="C46" s="52">
        <v>50</v>
      </c>
      <c r="D46" s="9">
        <v>8364.18</v>
      </c>
      <c r="E46" s="9">
        <f t="shared" si="0"/>
        <v>167.28360000000001</v>
      </c>
      <c r="F46" s="9">
        <v>0</v>
      </c>
      <c r="G46" s="9">
        <v>166.45</v>
      </c>
      <c r="H46" s="14" t="s">
        <v>3</v>
      </c>
      <c r="I46" s="1"/>
    </row>
    <row r="47" spans="1:9" ht="26.25" x14ac:dyDescent="0.25">
      <c r="A47" s="1"/>
      <c r="B47" s="51" t="s">
        <v>273</v>
      </c>
      <c r="C47" s="52">
        <v>50</v>
      </c>
      <c r="D47" s="9">
        <v>8364.18</v>
      </c>
      <c r="E47" s="9">
        <f t="shared" si="0"/>
        <v>167.28360000000001</v>
      </c>
      <c r="F47" s="9">
        <v>0</v>
      </c>
      <c r="G47" s="9">
        <v>166.45</v>
      </c>
      <c r="H47" s="14" t="s">
        <v>3</v>
      </c>
      <c r="I47" s="1"/>
    </row>
    <row r="48" spans="1:9" ht="26.25" x14ac:dyDescent="0.25">
      <c r="A48" s="1"/>
      <c r="B48" s="51" t="s">
        <v>274</v>
      </c>
      <c r="C48" s="52">
        <v>50</v>
      </c>
      <c r="D48" s="9">
        <v>11526.36</v>
      </c>
      <c r="E48" s="9">
        <f t="shared" si="0"/>
        <v>230.52720000000002</v>
      </c>
      <c r="F48" s="9">
        <v>0</v>
      </c>
      <c r="G48" s="9">
        <v>229.37</v>
      </c>
      <c r="H48" s="14" t="s">
        <v>3</v>
      </c>
      <c r="I48" s="1"/>
    </row>
    <row r="49" spans="1:9" ht="26.25" x14ac:dyDescent="0.25">
      <c r="A49" s="1"/>
      <c r="B49" s="51" t="s">
        <v>275</v>
      </c>
      <c r="C49" s="52">
        <v>75</v>
      </c>
      <c r="D49" s="9">
        <v>4469113.9400000004</v>
      </c>
      <c r="E49" s="9">
        <f t="shared" si="0"/>
        <v>59588.185866666674</v>
      </c>
      <c r="F49" s="9">
        <v>0</v>
      </c>
      <c r="G49" s="9">
        <v>88935.37</v>
      </c>
      <c r="H49" s="14" t="s">
        <v>3</v>
      </c>
      <c r="I49" s="1"/>
    </row>
    <row r="50" spans="1:9" ht="26.25" x14ac:dyDescent="0.25">
      <c r="A50" s="1"/>
      <c r="B50" s="51" t="s">
        <v>276</v>
      </c>
      <c r="C50" s="52">
        <v>75</v>
      </c>
      <c r="D50" s="9">
        <v>21902.43</v>
      </c>
      <c r="E50" s="9">
        <f t="shared" si="0"/>
        <v>292.0324</v>
      </c>
      <c r="F50" s="9">
        <v>0</v>
      </c>
      <c r="G50" s="9">
        <v>435.86</v>
      </c>
      <c r="H50" s="14" t="s">
        <v>3</v>
      </c>
      <c r="I50" s="1"/>
    </row>
    <row r="51" spans="1:9" ht="26.25" x14ac:dyDescent="0.25">
      <c r="A51" s="1"/>
      <c r="B51" s="51" t="s">
        <v>277</v>
      </c>
      <c r="C51" s="52">
        <v>75</v>
      </c>
      <c r="D51" s="9">
        <v>110163.66</v>
      </c>
      <c r="E51" s="9">
        <f t="shared" si="0"/>
        <v>1468.8488</v>
      </c>
      <c r="F51" s="9">
        <v>0</v>
      </c>
      <c r="G51" s="9">
        <v>2192.2600000000002</v>
      </c>
      <c r="H51" s="14" t="s">
        <v>3</v>
      </c>
      <c r="I51" s="1"/>
    </row>
    <row r="52" spans="1:9" x14ac:dyDescent="0.25">
      <c r="A52" s="1"/>
      <c r="B52" s="51" t="s">
        <v>278</v>
      </c>
      <c r="C52" s="52">
        <v>75</v>
      </c>
      <c r="D52" s="9">
        <v>136388.88</v>
      </c>
      <c r="E52" s="9">
        <f t="shared" si="0"/>
        <v>1818.5184000000002</v>
      </c>
      <c r="F52" s="9">
        <v>0</v>
      </c>
      <c r="G52" s="9">
        <v>2714.14</v>
      </c>
      <c r="H52" s="14" t="s">
        <v>3</v>
      </c>
      <c r="I52" s="1"/>
    </row>
    <row r="53" spans="1:9" x14ac:dyDescent="0.25">
      <c r="A53" s="1"/>
      <c r="B53" s="51" t="s">
        <v>278</v>
      </c>
      <c r="C53" s="52">
        <v>75</v>
      </c>
      <c r="D53" s="9">
        <v>499117.38</v>
      </c>
      <c r="E53" s="9">
        <f t="shared" si="0"/>
        <v>6654.8984</v>
      </c>
      <c r="F53" s="9">
        <v>0</v>
      </c>
      <c r="G53" s="9">
        <v>9932.44</v>
      </c>
      <c r="H53" s="14" t="s">
        <v>3</v>
      </c>
      <c r="I53" s="1"/>
    </row>
    <row r="54" spans="1:9" ht="26.25" x14ac:dyDescent="0.25">
      <c r="A54" s="1"/>
      <c r="B54" s="51" t="s">
        <v>279</v>
      </c>
      <c r="C54" s="52">
        <v>75</v>
      </c>
      <c r="D54" s="9">
        <v>210408.15</v>
      </c>
      <c r="E54" s="9">
        <f t="shared" si="0"/>
        <v>2805.442</v>
      </c>
      <c r="F54" s="9">
        <v>0</v>
      </c>
      <c r="G54" s="9">
        <v>4187.12</v>
      </c>
      <c r="H54" s="14" t="s">
        <v>3</v>
      </c>
      <c r="I54" s="1"/>
    </row>
    <row r="55" spans="1:9" x14ac:dyDescent="0.25">
      <c r="A55" s="1"/>
      <c r="B55" s="51" t="s">
        <v>278</v>
      </c>
      <c r="C55" s="52">
        <v>75</v>
      </c>
      <c r="D55" s="9">
        <v>3153953.96</v>
      </c>
      <c r="E55" s="9">
        <f t="shared" si="0"/>
        <v>42052.719466666669</v>
      </c>
      <c r="F55" s="9">
        <v>0</v>
      </c>
      <c r="G55" s="9">
        <v>62763.68</v>
      </c>
      <c r="H55" s="14" t="s">
        <v>3</v>
      </c>
      <c r="I55" s="1"/>
    </row>
    <row r="56" spans="1:9" x14ac:dyDescent="0.25">
      <c r="A56" s="1"/>
      <c r="B56" s="51" t="s">
        <v>278</v>
      </c>
      <c r="C56" s="52">
        <v>75</v>
      </c>
      <c r="D56" s="9">
        <v>407791.54</v>
      </c>
      <c r="E56" s="9">
        <f t="shared" ref="E56:E57" si="1">IFERROR(D56/C56,0)</f>
        <v>5437.2205333333332</v>
      </c>
      <c r="F56" s="9">
        <v>0</v>
      </c>
      <c r="G56" s="9">
        <v>8115.05</v>
      </c>
      <c r="H56" s="14" t="s">
        <v>3</v>
      </c>
      <c r="I56" s="1"/>
    </row>
    <row r="57" spans="1:9" x14ac:dyDescent="0.25">
      <c r="A57" s="1"/>
      <c r="B57" s="51" t="s">
        <v>278</v>
      </c>
      <c r="C57" s="52">
        <v>75</v>
      </c>
      <c r="D57" s="9">
        <v>202362.12</v>
      </c>
      <c r="E57" s="9">
        <f t="shared" si="1"/>
        <v>2698.1615999999999</v>
      </c>
      <c r="F57" s="9">
        <v>0</v>
      </c>
      <c r="G57" s="9">
        <v>4027.01</v>
      </c>
      <c r="H57" s="14" t="s">
        <v>3</v>
      </c>
      <c r="I57" s="1"/>
    </row>
    <row r="58" spans="1:9" x14ac:dyDescent="0.25">
      <c r="A58" s="1"/>
      <c r="B58" s="98" t="s">
        <v>231</v>
      </c>
      <c r="C58" s="99"/>
      <c r="D58" s="100"/>
      <c r="E58" s="12">
        <f>SUM(E10:E57)</f>
        <v>561493.09581666673</v>
      </c>
      <c r="F58" s="12">
        <f>SUM(F10:F57)</f>
        <v>0</v>
      </c>
      <c r="G58" s="12">
        <f>SUM(G10:G57)</f>
        <v>410016.09000000008</v>
      </c>
      <c r="H58" s="13" t="s">
        <v>3</v>
      </c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B73" s="1"/>
      <c r="C73" s="1"/>
      <c r="D73" s="1"/>
      <c r="E73" s="1"/>
      <c r="F73" s="1"/>
      <c r="G73" s="1"/>
      <c r="H73" s="1"/>
    </row>
    <row r="74" spans="1:9" x14ac:dyDescent="0.25">
      <c r="B74" s="1"/>
      <c r="C74" s="1"/>
      <c r="D74" s="1"/>
      <c r="E74" s="1"/>
      <c r="F74" s="1"/>
      <c r="G74" s="1"/>
      <c r="H74" s="1"/>
    </row>
    <row r="75" spans="1:9" x14ac:dyDescent="0.25">
      <c r="B75" s="1"/>
      <c r="C75" s="1"/>
      <c r="D75" s="1"/>
      <c r="E75" s="1"/>
      <c r="F75" s="1"/>
      <c r="G75" s="1"/>
      <c r="H75" s="1"/>
    </row>
    <row r="76" spans="1:9" x14ac:dyDescent="0.25">
      <c r="B76" s="1"/>
      <c r="C76" s="1"/>
      <c r="D76" s="1"/>
      <c r="E76" s="1"/>
      <c r="F76" s="1"/>
      <c r="G76" s="1"/>
      <c r="H76" s="1"/>
    </row>
    <row r="77" spans="1:9" x14ac:dyDescent="0.25">
      <c r="B77" s="1"/>
      <c r="C77" s="1"/>
      <c r="D77" s="1"/>
      <c r="E77" s="1"/>
      <c r="F77" s="1"/>
      <c r="G77" s="1"/>
      <c r="H77" s="1"/>
    </row>
    <row r="78" spans="1:9" x14ac:dyDescent="0.25">
      <c r="B78" s="1"/>
      <c r="C78" s="1"/>
      <c r="D78" s="1"/>
      <c r="E78" s="1"/>
      <c r="F78" s="1"/>
      <c r="G78" s="1"/>
      <c r="H78" s="1"/>
    </row>
    <row r="79" spans="1:9" x14ac:dyDescent="0.25">
      <c r="B79" s="1"/>
      <c r="C79" s="1"/>
      <c r="D79" s="1"/>
      <c r="E79" s="1"/>
      <c r="F79" s="1"/>
      <c r="G79" s="1"/>
      <c r="H79" s="1"/>
    </row>
    <row r="80" spans="1:9" x14ac:dyDescent="0.25">
      <c r="B80" s="1"/>
      <c r="C80" s="1"/>
      <c r="D80" s="1"/>
      <c r="E80" s="1"/>
      <c r="F80" s="1"/>
      <c r="G80" s="1"/>
      <c r="H80" s="1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  <row r="84" spans="2:8" x14ac:dyDescent="0.25">
      <c r="B84" s="1"/>
      <c r="C84" s="1"/>
      <c r="D84" s="1"/>
      <c r="E84" s="1"/>
      <c r="F84" s="1"/>
      <c r="G84" s="1"/>
      <c r="H84" s="1"/>
    </row>
    <row r="85" spans="2:8" x14ac:dyDescent="0.25">
      <c r="B85" s="1"/>
      <c r="C85" s="1"/>
      <c r="D85" s="1"/>
      <c r="E85" s="1"/>
      <c r="F85" s="1"/>
      <c r="G85" s="1"/>
      <c r="H85" s="1"/>
    </row>
    <row r="86" spans="2:8" x14ac:dyDescent="0.25">
      <c r="B86" s="1"/>
      <c r="C86" s="1"/>
      <c r="D86" s="1"/>
      <c r="E86" s="1"/>
      <c r="F86" s="1"/>
      <c r="G86" s="1"/>
      <c r="H86" s="1"/>
    </row>
    <row r="87" spans="2:8" x14ac:dyDescent="0.25">
      <c r="B87" s="1"/>
      <c r="C87" s="1"/>
      <c r="D87" s="1"/>
      <c r="E87" s="1"/>
      <c r="F87" s="1"/>
      <c r="G87" s="1"/>
      <c r="H87" s="1"/>
    </row>
    <row r="88" spans="2:8" x14ac:dyDescent="0.25">
      <c r="B88" s="1"/>
      <c r="C88" s="1"/>
      <c r="D88" s="1"/>
      <c r="E88" s="1"/>
      <c r="F88" s="1"/>
      <c r="G88" s="1"/>
      <c r="H88" s="1"/>
    </row>
    <row r="89" spans="2:8" x14ac:dyDescent="0.25">
      <c r="B89" s="1"/>
      <c r="C89" s="1"/>
      <c r="D89" s="1"/>
      <c r="E89" s="1"/>
      <c r="F89" s="1"/>
      <c r="G89" s="1"/>
      <c r="H89" s="1"/>
    </row>
    <row r="90" spans="2:8" x14ac:dyDescent="0.25">
      <c r="B90" s="1"/>
      <c r="C90" s="1"/>
      <c r="D90" s="1"/>
      <c r="E90" s="1"/>
      <c r="F90" s="1"/>
      <c r="G90" s="1"/>
      <c r="H90" s="1"/>
    </row>
    <row r="91" spans="2:8" x14ac:dyDescent="0.25">
      <c r="B91" s="1"/>
      <c r="C91" s="1"/>
      <c r="D91" s="1"/>
      <c r="E91" s="1"/>
      <c r="F91" s="1"/>
      <c r="G91" s="1"/>
      <c r="H91" s="1"/>
    </row>
    <row r="92" spans="2:8" x14ac:dyDescent="0.25">
      <c r="B92" s="1"/>
      <c r="C92" s="1"/>
      <c r="D92" s="1"/>
      <c r="E92" s="1"/>
      <c r="F92" s="1"/>
      <c r="G92" s="1"/>
      <c r="H92" s="1"/>
    </row>
    <row r="93" spans="2:8" x14ac:dyDescent="0.25">
      <c r="B93" s="1"/>
      <c r="C93" s="1"/>
      <c r="D93" s="1"/>
      <c r="E93" s="1"/>
      <c r="F93" s="1"/>
      <c r="G93" s="1"/>
      <c r="H93" s="1"/>
    </row>
  </sheetData>
  <sheetProtection algorithmName="SHA-512" hashValue="b/6DNxv4NVgcBuED3/HVg352WwpgQel3dBS7KrswH7xrs3KiRgwCsDfAOnhbbviwzdH2De1Vd4dJWCBjJGqpDw==" saltValue="7A6/6lU+nGUgFi07hI33Kw==" spinCount="100000" sheet="1" objects="1" scenarios="1"/>
  <mergeCells count="3">
    <mergeCell ref="B3:H4"/>
    <mergeCell ref="B58:D58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206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137</v>
      </c>
      <c r="C8" s="47"/>
      <c r="D8" s="47"/>
      <c r="E8" s="47"/>
      <c r="F8" s="22"/>
      <c r="G8" s="1"/>
    </row>
    <row r="9" spans="1:7" ht="17.25" customHeight="1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280</v>
      </c>
      <c r="C10" s="24">
        <f>'Fane 9. Anlægsprojekter'!F58</f>
        <v>0</v>
      </c>
      <c r="D10" s="14" t="s">
        <v>3</v>
      </c>
      <c r="E10" s="9">
        <f>SUM('Fane 9. Anlægsprojekter'!E58,'Fane 9. Anlægsprojekter'!G58)</f>
        <v>971509.18581666681</v>
      </c>
      <c r="F10" s="14" t="s">
        <v>3</v>
      </c>
      <c r="G10" s="1"/>
    </row>
    <row r="11" spans="1:7" x14ac:dyDescent="0.25">
      <c r="A11" s="1"/>
      <c r="B11" s="53" t="s">
        <v>234</v>
      </c>
      <c r="C11" s="24">
        <v>128402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46" t="s">
        <v>63</v>
      </c>
      <c r="C12" s="12">
        <f>SUM(C10:C11)</f>
        <v>128402</v>
      </c>
      <c r="D12" s="13" t="s">
        <v>3</v>
      </c>
      <c r="E12" s="12">
        <f>SUM(E10:E11)</f>
        <v>971509.18581666681</v>
      </c>
      <c r="F12" s="13" t="s">
        <v>3</v>
      </c>
      <c r="G12" s="1"/>
    </row>
    <row r="13" spans="1:7" x14ac:dyDescent="0.25">
      <c r="A13" s="1"/>
      <c r="B13" s="46" t="s">
        <v>74</v>
      </c>
      <c r="C13" s="12">
        <f>C12*(1+'Fane 14. Nøgletal'!C12)</f>
        <v>130931.5194</v>
      </c>
      <c r="D13" s="13" t="s">
        <v>3</v>
      </c>
      <c r="E13" s="12">
        <f>E12*(1+'Fane 14. Nøgletal'!C12)</f>
        <v>990647.91677725525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algorithmName="SHA-512" hashValue="nneJ4T77PezLGY9tRMP6DA16kyw6zXo6HENrA+eKA+R3DpEHA778eXK5ZsKpvRO8cGjPq38zszBxWb3CLh5WiA==" saltValue="D0SkUW11qTLc15e3L+apC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207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168</v>
      </c>
      <c r="C8" s="99"/>
      <c r="D8" s="99"/>
      <c r="E8" s="99"/>
      <c r="F8" s="100"/>
      <c r="G8" s="1"/>
    </row>
    <row r="9" spans="1:7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235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6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8" t="s">
        <v>169</v>
      </c>
      <c r="C16" s="99"/>
      <c r="D16" s="99"/>
      <c r="E16" s="99"/>
      <c r="F16" s="100"/>
      <c r="G16" s="1"/>
    </row>
    <row r="17" spans="1:7" x14ac:dyDescent="0.25">
      <c r="A17" s="1"/>
      <c r="B17" s="42" t="s">
        <v>24</v>
      </c>
      <c r="C17" s="42" t="s">
        <v>16</v>
      </c>
      <c r="D17" s="43"/>
      <c r="E17" s="42" t="s">
        <v>47</v>
      </c>
      <c r="F17" s="41"/>
      <c r="G17" s="1"/>
    </row>
    <row r="18" spans="1:7" x14ac:dyDescent="0.25">
      <c r="A18" s="1"/>
      <c r="B18" s="27" t="s">
        <v>235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6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6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8" t="s">
        <v>170</v>
      </c>
      <c r="C24" s="99"/>
      <c r="D24" s="99"/>
      <c r="E24" s="99"/>
      <c r="F24" s="100"/>
      <c r="G24" s="1"/>
    </row>
    <row r="25" spans="1:7" x14ac:dyDescent="0.25">
      <c r="A25" s="1"/>
      <c r="B25" s="42" t="s">
        <v>24</v>
      </c>
      <c r="C25" s="42" t="s">
        <v>16</v>
      </c>
      <c r="D25" s="43"/>
      <c r="E25" s="42" t="s">
        <v>47</v>
      </c>
      <c r="F25" s="41"/>
      <c r="G25" s="1"/>
    </row>
    <row r="26" spans="1:7" x14ac:dyDescent="0.25">
      <c r="A26" s="1"/>
      <c r="B26" s="27" t="s">
        <v>235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6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6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8" t="s">
        <v>171</v>
      </c>
      <c r="C32" s="99"/>
      <c r="D32" s="99"/>
      <c r="E32" s="99"/>
      <c r="F32" s="100"/>
      <c r="G32" s="1"/>
    </row>
    <row r="33" spans="1:7" x14ac:dyDescent="0.25">
      <c r="A33" s="1"/>
      <c r="B33" s="42" t="s">
        <v>24</v>
      </c>
      <c r="C33" s="42" t="s">
        <v>16</v>
      </c>
      <c r="D33" s="43"/>
      <c r="E33" s="42" t="s">
        <v>47</v>
      </c>
      <c r="F33" s="41"/>
      <c r="G33" s="1"/>
    </row>
    <row r="34" spans="1:7" x14ac:dyDescent="0.25">
      <c r="A34" s="1"/>
      <c r="B34" s="27" t="s">
        <v>235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6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6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xyRaCDTtwXpkUpHTjF15uwdu/hfa8yLbCaaQ8pyj1cyvpU+Ku5tj8LetrzNsayExZeNDVHq9WXzd+4GFKwCcOA==" saltValue="4GL/yMuoi2IT/xL9KOssO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208</v>
      </c>
      <c r="C3" s="85"/>
      <c r="D3" s="85"/>
      <c r="E3" s="85"/>
      <c r="F3" s="85"/>
      <c r="G3" s="1"/>
    </row>
    <row r="4" spans="1:7" ht="25.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31</v>
      </c>
      <c r="C8" s="99"/>
      <c r="D8" s="99"/>
      <c r="E8" s="99"/>
      <c r="F8" s="100"/>
      <c r="G8" s="1"/>
    </row>
    <row r="9" spans="1:7" ht="15" customHeight="1" x14ac:dyDescent="0.25">
      <c r="A9" s="1"/>
      <c r="B9" s="40" t="s">
        <v>32</v>
      </c>
      <c r="C9" s="95" t="s">
        <v>16</v>
      </c>
      <c r="D9" s="97"/>
      <c r="E9" s="95" t="s">
        <v>47</v>
      </c>
      <c r="F9" s="97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OKgckSLCeGNmvSyXD3epf1kn/7FgbDrWmHhuk5hkoUorrQb5BMS4GqvJxG24lSl7eLd5B2XntdjhfMZVxhhaJA==" saltValue="ogP7CJewjXEDnbNX3VZ1/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209</v>
      </c>
      <c r="C3" s="85"/>
      <c r="D3" s="85"/>
      <c r="E3" s="85"/>
      <c r="F3" s="85"/>
      <c r="G3" s="1"/>
    </row>
    <row r="4" spans="1:7" ht="25.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156</v>
      </c>
      <c r="C8" s="99"/>
      <c r="D8" s="99"/>
      <c r="E8" s="99"/>
      <c r="F8" s="100"/>
      <c r="G8" s="1"/>
    </row>
    <row r="9" spans="1:7" ht="15" customHeight="1" x14ac:dyDescent="0.25">
      <c r="A9" s="1"/>
      <c r="B9" s="40" t="s">
        <v>25</v>
      </c>
      <c r="C9" s="40" t="s">
        <v>16</v>
      </c>
      <c r="D9" s="41"/>
      <c r="E9" s="40" t="s">
        <v>47</v>
      </c>
      <c r="F9" s="41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8" t="s">
        <v>157</v>
      </c>
      <c r="C15" s="99"/>
      <c r="D15" s="99"/>
      <c r="E15" s="99"/>
      <c r="F15" s="100"/>
      <c r="G15" s="1"/>
    </row>
    <row r="16" spans="1:7" ht="26.25" x14ac:dyDescent="0.25">
      <c r="A16" s="1"/>
      <c r="B16" s="40" t="s">
        <v>25</v>
      </c>
      <c r="C16" s="40" t="s">
        <v>16</v>
      </c>
      <c r="D16" s="41"/>
      <c r="E16" s="40" t="s">
        <v>47</v>
      </c>
      <c r="F16" s="41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6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6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8" t="s">
        <v>155</v>
      </c>
      <c r="C22" s="99"/>
      <c r="D22" s="99"/>
      <c r="E22" s="99"/>
      <c r="F22" s="100"/>
      <c r="G22" s="1"/>
    </row>
    <row r="23" spans="1:7" ht="26.25" x14ac:dyDescent="0.25">
      <c r="A23" s="1"/>
      <c r="B23" s="40" t="s">
        <v>25</v>
      </c>
      <c r="C23" s="40" t="s">
        <v>16</v>
      </c>
      <c r="D23" s="41"/>
      <c r="E23" s="40" t="s">
        <v>47</v>
      </c>
      <c r="F23" s="41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6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6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8" t="s">
        <v>158</v>
      </c>
      <c r="C29" s="99"/>
      <c r="D29" s="99"/>
      <c r="E29" s="99"/>
      <c r="F29" s="100"/>
      <c r="G29" s="1"/>
    </row>
    <row r="30" spans="1:7" ht="26.25" x14ac:dyDescent="0.25">
      <c r="A30" s="1"/>
      <c r="B30" s="40" t="s">
        <v>25</v>
      </c>
      <c r="C30" s="40" t="s">
        <v>16</v>
      </c>
      <c r="D30" s="41"/>
      <c r="E30" s="40" t="s">
        <v>47</v>
      </c>
      <c r="F30" s="41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6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6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adlmGXarzloku1jItaDbZJnOOzdtpw/amV3AjjjOgel/53sQye8t/hUHnMd9Lb4/3KcZPPzoQc81ZFJ6o+qI5w==" saltValue="19n43KYRHNxvZrg9r1VTV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210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18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12</v>
      </c>
      <c r="C9" s="102"/>
      <c r="D9" s="102"/>
      <c r="E9" s="102"/>
      <c r="F9" s="103"/>
      <c r="G9" s="9">
        <v>-1555188</v>
      </c>
      <c r="H9" s="14" t="s">
        <v>3</v>
      </c>
      <c r="I9" s="1"/>
    </row>
    <row r="10" spans="1:9" x14ac:dyDescent="0.25">
      <c r="A10" s="1"/>
      <c r="B10" s="101" t="s">
        <v>135</v>
      </c>
      <c r="C10" s="102"/>
      <c r="D10" s="102"/>
      <c r="E10" s="102"/>
      <c r="F10" s="103"/>
      <c r="G10" s="9">
        <v>0</v>
      </c>
      <c r="H10" s="14" t="s">
        <v>3</v>
      </c>
      <c r="I10" s="1"/>
    </row>
    <row r="11" spans="1:9" x14ac:dyDescent="0.25">
      <c r="A11" s="1"/>
      <c r="B11" s="101" t="s">
        <v>80</v>
      </c>
      <c r="C11" s="102"/>
      <c r="D11" s="102"/>
      <c r="E11" s="102"/>
      <c r="F11" s="103"/>
      <c r="G11" s="9">
        <v>1555191.5</v>
      </c>
      <c r="H11" s="14" t="s">
        <v>3</v>
      </c>
      <c r="I11" s="1"/>
    </row>
    <row r="12" spans="1:9" x14ac:dyDescent="0.25">
      <c r="A12" s="1"/>
      <c r="B12" s="115" t="s">
        <v>15</v>
      </c>
      <c r="C12" s="116"/>
      <c r="D12" s="116"/>
      <c r="E12" s="116"/>
      <c r="F12" s="117"/>
      <c r="G12" s="19">
        <f>(G9+G10)+G11</f>
        <v>3.5</v>
      </c>
      <c r="H12" s="18" t="s">
        <v>3</v>
      </c>
      <c r="I12" s="1"/>
    </row>
    <row r="13" spans="1:9" x14ac:dyDescent="0.25">
      <c r="A13" s="1"/>
      <c r="B13" s="101" t="s">
        <v>13</v>
      </c>
      <c r="C13" s="102"/>
      <c r="D13" s="102"/>
      <c r="E13" s="102"/>
      <c r="F13" s="103"/>
      <c r="G13" s="9">
        <v>0</v>
      </c>
      <c r="H13" s="14" t="s">
        <v>27</v>
      </c>
      <c r="I13" s="1"/>
    </row>
    <row r="14" spans="1:9" x14ac:dyDescent="0.25">
      <c r="A14" s="1"/>
      <c r="B14" s="98" t="s">
        <v>136</v>
      </c>
      <c r="C14" s="99"/>
      <c r="D14" s="99"/>
      <c r="E14" s="99"/>
      <c r="F14" s="100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OXNyxJvnyug1by/9qqDCqSKEW3FjZ5TK0IDNXRX9uD1dYk/5as/UOcRUBsHfmoydY1kdQ7iSSF0czwk7iqQvA==" saltValue="tmVpy6p9dQTKzoI7QxHaM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5" t="s">
        <v>54</v>
      </c>
      <c r="C3" s="85"/>
      <c r="D3" s="1"/>
    </row>
    <row r="4" spans="1:4" ht="25.5" customHeight="1" x14ac:dyDescent="0.25">
      <c r="A4" s="1"/>
      <c r="B4" s="85"/>
      <c r="C4" s="8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8"/>
      <c r="C13" s="100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46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6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46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KMo7Wbc8vjIJpv/DosIKHuoePe+t17kwIn0rYgrSEEenllpPDTweQ9OVjwbpeX4sMQBkF/4nhYDejEpMlaiQGQ==" saltValue="jhri4Me2dryelqlilTK/sA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65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x14ac:dyDescent="0.25">
      <c r="A9" s="1"/>
      <c r="B9" s="45" t="s">
        <v>34</v>
      </c>
      <c r="C9" s="7">
        <f>'Fane 3. Omkostninger i ØR2019'!E22</f>
        <v>21468737.952134486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tillæg'!C13</f>
        <v>130931.5194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tillæg'!E13</f>
        <v>990647.91677725525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384916.78628376476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-334642.56654107635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-183092.64878519901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-144163.64397253669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22313335.315296695</v>
      </c>
      <c r="D20" s="11" t="s">
        <v>3</v>
      </c>
      <c r="E20" s="1"/>
    </row>
    <row r="21" spans="1:5" ht="15" customHeight="1" x14ac:dyDescent="0.25">
      <c r="A21" s="1"/>
      <c r="B21" s="46" t="s">
        <v>17</v>
      </c>
      <c r="C21" s="47"/>
      <c r="D21" s="22"/>
      <c r="E21" s="1"/>
    </row>
    <row r="22" spans="1:5" ht="15" customHeight="1" x14ac:dyDescent="0.25">
      <c r="A22" s="1"/>
      <c r="B22" s="40" t="s">
        <v>17</v>
      </c>
      <c r="C22" s="10">
        <f>'Fane 6. Ikke-påvirkelige omk.'!C17</f>
        <v>12990461.489115661</v>
      </c>
      <c r="D22" s="11" t="s">
        <v>3</v>
      </c>
      <c r="E22" s="1"/>
    </row>
    <row r="23" spans="1:5" ht="15" customHeight="1" x14ac:dyDescent="0.25">
      <c r="A23" s="1"/>
      <c r="B23" s="46" t="s">
        <v>142</v>
      </c>
      <c r="C23" s="47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46" t="s">
        <v>11</v>
      </c>
      <c r="C27" s="47"/>
      <c r="D27" s="22"/>
      <c r="E27" s="1"/>
    </row>
    <row r="28" spans="1:5" ht="15" customHeight="1" x14ac:dyDescent="0.25">
      <c r="A28" s="1"/>
      <c r="B28" s="40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25">
      <c r="A29" s="1"/>
      <c r="B29" s="46" t="s">
        <v>53</v>
      </c>
      <c r="C29" s="47"/>
      <c r="D29" s="22"/>
      <c r="E29" s="1"/>
    </row>
    <row r="30" spans="1:5" x14ac:dyDescent="0.25">
      <c r="A30" s="1"/>
      <c r="B30" s="40" t="s">
        <v>218</v>
      </c>
      <c r="C30" s="10">
        <f>'Fane 7. Kontrol af ØR2018'!E32</f>
        <v>-658810.91176397051</v>
      </c>
      <c r="D30" s="11" t="s">
        <v>3</v>
      </c>
      <c r="E30" s="1"/>
    </row>
    <row r="31" spans="1:5" x14ac:dyDescent="0.25">
      <c r="A31" s="1"/>
      <c r="B31" s="46" t="s">
        <v>225</v>
      </c>
      <c r="C31" s="47"/>
      <c r="D31" s="22"/>
      <c r="E31" s="1"/>
    </row>
    <row r="32" spans="1:5" x14ac:dyDescent="0.25">
      <c r="A32" s="1"/>
      <c r="B32" s="40" t="s">
        <v>226</v>
      </c>
      <c r="C32" s="10">
        <f>'Fane 8. Korrektioner'!E10</f>
        <v>22670.663863462047</v>
      </c>
      <c r="D32" s="11" t="s">
        <v>3</v>
      </c>
      <c r="E32" s="1"/>
    </row>
    <row r="33" spans="1:5" x14ac:dyDescent="0.25">
      <c r="A33" s="1"/>
      <c r="B33" s="46" t="s">
        <v>35</v>
      </c>
      <c r="C33" s="33">
        <f>SUM(C20,C22,C26,C28,C30,C32)</f>
        <v>34667656.556511849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8NbAE7fBeGR4hq6A7Y9KnZeEdCM03TFqxm7Ph0Avt6CpKK093g+OgwXEKzWE0oPFVnP8ao1sdMqhw6sNB2dLSQ==" saltValue="7oUj4TWKbZd7n3Zxdzh23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ht="15" customHeight="1" x14ac:dyDescent="0.25">
      <c r="A9" s="1"/>
      <c r="B9" s="45" t="s">
        <v>36</v>
      </c>
      <c r="C9" s="7">
        <f>'Fane 2.1. Økonomisk ramme 2020'!C20</f>
        <v>22313335.315296695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439572.70571134484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-331404.30598275817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-182965.58248694212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-409457.74073696951</v>
      </c>
      <c r="D15" s="8" t="s">
        <v>3</v>
      </c>
      <c r="E15" s="1"/>
    </row>
    <row r="16" spans="1:5" ht="15" customHeight="1" x14ac:dyDescent="0.25">
      <c r="A16" s="1"/>
      <c r="B16" s="39" t="s">
        <v>28</v>
      </c>
      <c r="C16" s="10">
        <f>SUM(C9:C15)</f>
        <v>21829080.391801372</v>
      </c>
      <c r="D16" s="11" t="s">
        <v>3</v>
      </c>
      <c r="E16" s="1"/>
    </row>
    <row r="17" spans="1:5" x14ac:dyDescent="0.25">
      <c r="A17" s="1"/>
      <c r="B17" s="46" t="s">
        <v>17</v>
      </c>
      <c r="C17" s="47"/>
      <c r="D17" s="22"/>
      <c r="E17" s="1"/>
    </row>
    <row r="18" spans="1:5" ht="15" customHeight="1" x14ac:dyDescent="0.25">
      <c r="A18" s="1"/>
      <c r="B18" s="40" t="s">
        <v>17</v>
      </c>
      <c r="C18" s="10">
        <f>'Fane 6. Ikke-påvirkelige omk.'!C17*(1+'Fane 14. Nøgletal'!C12)</f>
        <v>13246373.580451241</v>
      </c>
      <c r="D18" s="11" t="s">
        <v>3</v>
      </c>
      <c r="E18" s="1"/>
    </row>
    <row r="19" spans="1:5" ht="15" customHeight="1" x14ac:dyDescent="0.25">
      <c r="A19" s="1"/>
      <c r="B19" s="46" t="s">
        <v>142</v>
      </c>
      <c r="C19" s="47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6" t="s">
        <v>160</v>
      </c>
      <c r="C23" s="47"/>
      <c r="D23" s="22"/>
      <c r="E23" s="1"/>
    </row>
    <row r="24" spans="1:5" ht="15" customHeight="1" x14ac:dyDescent="0.25">
      <c r="A24" s="1"/>
      <c r="B24" s="40" t="s">
        <v>195</v>
      </c>
      <c r="C24" s="10">
        <f>'Fane 7. Kontrol af ØR2018'!E39</f>
        <v>-657284.48011820391</v>
      </c>
      <c r="D24" s="11" t="s">
        <v>3</v>
      </c>
      <c r="E24" s="1"/>
    </row>
    <row r="25" spans="1:5" x14ac:dyDescent="0.25">
      <c r="A25" s="1"/>
      <c r="B25" s="46" t="s">
        <v>44</v>
      </c>
      <c r="C25" s="12">
        <f>SUM(C16,C18,C22,C24)</f>
        <v>34418169.492134407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3tBG7CsVwoN0Q3HU1d1nzN3QKof0YK77CoZAjTqVCJbXKjadKCFWc991wsS6+Yvqjr5E7i7YQIVD0Z4SBC/xfw==" saltValue="97CQvPnM9lRHrt+iIVraU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193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36</v>
      </c>
      <c r="C8" s="7">
        <f>'Fane 2.2. Økonomisk ramme 2021'!C16</f>
        <v>21829080.391801372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430032.88371848699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-324212.00754005596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-182838.60437269617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-405666.37497577036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21346396.288631339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omk.'!C17*(1+'Fane 14. Nøgletal'!C12)^2</f>
        <v>13507327.139986129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6" t="s">
        <v>160</v>
      </c>
      <c r="C22" s="47"/>
      <c r="D22" s="22"/>
      <c r="E22" s="1"/>
    </row>
    <row r="23" spans="1:5" ht="15" customHeight="1" x14ac:dyDescent="0.25">
      <c r="A23" s="1"/>
      <c r="B23" s="40" t="s">
        <v>195</v>
      </c>
      <c r="C23" s="10">
        <f>'Fane 2.2. Økonomisk ramme 2021'!C24</f>
        <v>-657284.48011820391</v>
      </c>
      <c r="D23" s="11" t="s">
        <v>3</v>
      </c>
      <c r="E23" s="1"/>
    </row>
    <row r="24" spans="1:5" x14ac:dyDescent="0.25">
      <c r="A24" s="1"/>
      <c r="B24" s="46" t="s">
        <v>45</v>
      </c>
      <c r="C24" s="12">
        <f>SUM(C15,C17,C21,C23)</f>
        <v>34196438.948499262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M3/DcuJdJjwDnKzGWWrUqtqR7L2ILDcxRBAvNA79wLmDxa/sNmIj3Wbdr0Cvvz0EttthVfeR7n5tkaR9kicYkw==" saltValue="XL04PoU7hU3XyJIDMksro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194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37</v>
      </c>
      <c r="C8" s="7">
        <f>'Fane 2.3. Økonomisk ramme 2022'!C15</f>
        <v>21346396.288631339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420524.00688603736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-317043.039388965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-182711.7143812615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-401910.11529000971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20865255.426457141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omk.'!C17*(1+'Fane 14. Nøgletal'!C12)^3</f>
        <v>13773421.484643856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6" t="s">
        <v>154</v>
      </c>
      <c r="C22" s="12">
        <f>SUM(C15,C17,C21)</f>
        <v>34638676.911100999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rCcceBVygpKBJdi3hMkTlv6xbyARzwt2JOjMzGwrDuh/HP7wOdGDtaEDtsYEOdo2AQE0vJjU9cy+Rh/6vr+csw==" saltValue="QZSMJp6h1y4UndPsZm+6S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221</v>
      </c>
      <c r="C3" s="85"/>
      <c r="D3" s="85"/>
      <c r="E3" s="85"/>
      <c r="F3" s="85"/>
      <c r="G3" s="1"/>
    </row>
    <row r="4" spans="1:7" ht="29.2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84</v>
      </c>
      <c r="C8" s="47"/>
      <c r="D8" s="47"/>
      <c r="E8" s="47"/>
      <c r="F8" s="22"/>
      <c r="G8" s="1"/>
    </row>
    <row r="9" spans="1:7" x14ac:dyDescent="0.25">
      <c r="A9" s="1"/>
      <c r="B9" s="86" t="s">
        <v>81</v>
      </c>
      <c r="C9" s="87"/>
      <c r="D9" s="88"/>
      <c r="E9" s="7">
        <v>21655386.281991918</v>
      </c>
      <c r="F9" s="8" t="s">
        <v>3</v>
      </c>
      <c r="G9" s="1"/>
    </row>
    <row r="10" spans="1:7" x14ac:dyDescent="0.25">
      <c r="A10" s="1"/>
      <c r="B10" s="86" t="s">
        <v>82</v>
      </c>
      <c r="C10" s="87"/>
      <c r="D10" s="88"/>
      <c r="E10" s="7">
        <v>-16414.42135049526</v>
      </c>
      <c r="F10" s="8" t="s">
        <v>3</v>
      </c>
      <c r="G10" s="1"/>
    </row>
    <row r="11" spans="1:7" x14ac:dyDescent="0.25">
      <c r="A11" s="1"/>
      <c r="B11" s="86" t="s">
        <v>83</v>
      </c>
      <c r="C11" s="87"/>
      <c r="D11" s="88"/>
      <c r="E11" s="7">
        <v>-67999.017398904267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148002.72564678665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367050.68711422919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-321690.93271636881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-181044.86361967988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-114552.50753299614</v>
      </c>
      <c r="F21" s="8" t="s">
        <v>3</v>
      </c>
      <c r="G21" s="1"/>
    </row>
    <row r="22" spans="1:7" x14ac:dyDescent="0.25">
      <c r="A22" s="1"/>
      <c r="B22" s="92" t="s">
        <v>28</v>
      </c>
      <c r="C22" s="93"/>
      <c r="D22" s="94"/>
      <c r="E22" s="10">
        <f>SUM(E9:E21)</f>
        <v>21468737.952134486</v>
      </c>
      <c r="F22" s="11" t="s">
        <v>3</v>
      </c>
      <c r="G22" s="1"/>
    </row>
    <row r="23" spans="1:7" x14ac:dyDescent="0.25">
      <c r="A23" s="1"/>
      <c r="B23" s="80" t="s">
        <v>17</v>
      </c>
      <c r="C23" s="81"/>
      <c r="D23" s="81"/>
      <c r="E23" s="47"/>
      <c r="F23" s="22"/>
      <c r="G23" s="1"/>
    </row>
    <row r="24" spans="1:7" x14ac:dyDescent="0.25">
      <c r="A24" s="1"/>
      <c r="B24" s="82" t="s">
        <v>17</v>
      </c>
      <c r="C24" s="83"/>
      <c r="D24" s="84"/>
      <c r="E24" s="10">
        <v>14269888.159164026</v>
      </c>
      <c r="F24" s="11" t="s">
        <v>3</v>
      </c>
      <c r="G24" s="1"/>
    </row>
    <row r="25" spans="1:7" x14ac:dyDescent="0.25">
      <c r="A25" s="1"/>
      <c r="B25" s="46" t="s">
        <v>130</v>
      </c>
      <c r="C25" s="47"/>
      <c r="D25" s="47"/>
      <c r="E25" s="47"/>
      <c r="F25" s="22"/>
      <c r="G25" s="1"/>
    </row>
    <row r="26" spans="1:7" ht="27" customHeight="1" x14ac:dyDescent="0.25">
      <c r="A26" s="1"/>
      <c r="B26" s="95" t="s">
        <v>132</v>
      </c>
      <c r="C26" s="96"/>
      <c r="D26" s="97"/>
      <c r="E26" s="10">
        <v>75029.063078943145</v>
      </c>
      <c r="F26" s="11" t="s">
        <v>3</v>
      </c>
      <c r="G26" s="1"/>
    </row>
    <row r="27" spans="1:7" x14ac:dyDescent="0.25">
      <c r="A27" s="1"/>
      <c r="B27" s="46" t="s">
        <v>11</v>
      </c>
      <c r="C27" s="47"/>
      <c r="D27" s="47"/>
      <c r="E27" s="47"/>
      <c r="F27" s="22"/>
      <c r="G27" s="1"/>
    </row>
    <row r="28" spans="1:7" x14ac:dyDescent="0.25">
      <c r="A28" s="1"/>
      <c r="B28" s="82" t="s">
        <v>19</v>
      </c>
      <c r="C28" s="83"/>
      <c r="D28" s="84"/>
      <c r="E28" s="10">
        <v>0</v>
      </c>
      <c r="F28" s="11" t="s">
        <v>3</v>
      </c>
      <c r="G28" s="1"/>
    </row>
    <row r="29" spans="1:7" x14ac:dyDescent="0.25">
      <c r="A29" s="1"/>
      <c r="B29" s="46" t="s">
        <v>160</v>
      </c>
      <c r="C29" s="47"/>
      <c r="D29" s="47"/>
      <c r="E29" s="47"/>
      <c r="F29" s="22"/>
      <c r="G29" s="1"/>
    </row>
    <row r="30" spans="1:7" x14ac:dyDescent="0.25">
      <c r="A30" s="1"/>
      <c r="B30" s="82" t="s">
        <v>131</v>
      </c>
      <c r="C30" s="83"/>
      <c r="D30" s="84"/>
      <c r="E30" s="10">
        <v>-683954.64941443026</v>
      </c>
      <c r="F30" s="11" t="s">
        <v>3</v>
      </c>
      <c r="G30" s="1"/>
    </row>
    <row r="31" spans="1:7" x14ac:dyDescent="0.25">
      <c r="A31" s="1"/>
      <c r="B31" s="46" t="s">
        <v>23</v>
      </c>
      <c r="C31" s="47"/>
      <c r="D31" s="47"/>
      <c r="E31" s="12">
        <f>SUM(E28,E26,E24,E22,E30)</f>
        <v>35129700.524963029</v>
      </c>
      <c r="F31" s="13" t="s">
        <v>3</v>
      </c>
      <c r="G31" s="1"/>
    </row>
    <row r="32" spans="1:7" ht="28.15" customHeight="1" x14ac:dyDescent="0.25">
      <c r="A32" s="1"/>
      <c r="B32" s="89" t="s">
        <v>189</v>
      </c>
      <c r="C32" s="90"/>
      <c r="D32" s="90"/>
      <c r="E32" s="90"/>
      <c r="F32" s="9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gOaEhPnEi/jGcCnRoE3jpLs3Cr38HINsEC3jkgMposCLH9bo4o9ltOqrBQFVtIu0xjBLE6Su1n2qGOKyExHVwQ==" saltValue="j/Db3gi3FM0BR0TTvpQYBg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5" t="s">
        <v>202</v>
      </c>
      <c r="C2" s="75"/>
      <c r="D2" s="75"/>
      <c r="E2" s="75"/>
      <c r="F2" s="75"/>
      <c r="G2" s="75"/>
      <c r="H2" s="75"/>
      <c r="I2" s="1"/>
    </row>
    <row r="3" spans="1:9" ht="15" customHeight="1" x14ac:dyDescent="0.25">
      <c r="A3" s="1"/>
      <c r="B3" s="75"/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98" t="s">
        <v>97</v>
      </c>
      <c r="C5" s="99"/>
      <c r="D5" s="99"/>
      <c r="E5" s="99"/>
      <c r="F5" s="99"/>
      <c r="G5" s="99"/>
      <c r="H5" s="100"/>
      <c r="I5" s="1"/>
    </row>
    <row r="6" spans="1:9" x14ac:dyDescent="0.25">
      <c r="A6" s="1"/>
      <c r="B6" s="101" t="s">
        <v>86</v>
      </c>
      <c r="C6" s="102"/>
      <c r="D6" s="102"/>
      <c r="E6" s="102"/>
      <c r="F6" s="103"/>
      <c r="G6" s="26">
        <v>9169487.8792452477</v>
      </c>
      <c r="H6" s="14" t="s">
        <v>3</v>
      </c>
      <c r="I6" s="1"/>
    </row>
    <row r="7" spans="1:9" x14ac:dyDescent="0.25">
      <c r="A7" s="1"/>
      <c r="B7" s="101" t="s">
        <v>87</v>
      </c>
      <c r="C7" s="102"/>
      <c r="D7" s="102"/>
      <c r="E7" s="102"/>
      <c r="F7" s="103"/>
      <c r="G7" s="26">
        <f>G6*'Fane 14. Nøgletal'!C25</f>
        <v>183389.75758490496</v>
      </c>
      <c r="H7" s="14" t="s">
        <v>3</v>
      </c>
      <c r="I7" s="1"/>
    </row>
    <row r="8" spans="1:9" x14ac:dyDescent="0.25">
      <c r="A8" s="1"/>
      <c r="B8" s="46"/>
      <c r="C8" s="47"/>
      <c r="D8" s="47"/>
      <c r="E8" s="47"/>
      <c r="F8" s="47"/>
      <c r="G8" s="47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8" t="s">
        <v>98</v>
      </c>
      <c r="C10" s="99"/>
      <c r="D10" s="99"/>
      <c r="E10" s="99"/>
      <c r="F10" s="99"/>
      <c r="G10" s="99"/>
      <c r="H10" s="100"/>
      <c r="I10" s="1"/>
    </row>
    <row r="11" spans="1:9" x14ac:dyDescent="0.25">
      <c r="A11" s="1"/>
      <c r="B11" s="101" t="s">
        <v>88</v>
      </c>
      <c r="C11" s="102"/>
      <c r="D11" s="102"/>
      <c r="E11" s="102"/>
      <c r="F11" s="103"/>
      <c r="G11" s="26">
        <f>(G6-G7)*(1+'Fane 14. Nøgletal'!C9)</f>
        <v>9100221.5678054281</v>
      </c>
      <c r="H11" s="14" t="s">
        <v>3</v>
      </c>
      <c r="I11" s="1"/>
    </row>
    <row r="12" spans="1:9" x14ac:dyDescent="0.25">
      <c r="A12" s="1"/>
      <c r="B12" s="104" t="s">
        <v>89</v>
      </c>
      <c r="C12" s="105"/>
      <c r="D12" s="105"/>
      <c r="E12" s="105"/>
      <c r="F12" s="106"/>
      <c r="G12" s="26">
        <v>0</v>
      </c>
      <c r="H12" s="14" t="s">
        <v>3</v>
      </c>
      <c r="I12" s="1"/>
    </row>
    <row r="13" spans="1:9" x14ac:dyDescent="0.25">
      <c r="A13" s="1"/>
      <c r="B13" s="101" t="s">
        <v>90</v>
      </c>
      <c r="C13" s="102"/>
      <c r="D13" s="102"/>
      <c r="E13" s="102"/>
      <c r="F13" s="103"/>
      <c r="G13" s="26">
        <f>(G11+G12)*'Fane 14. Nøgletal'!C25</f>
        <v>182004.43135610857</v>
      </c>
      <c r="H13" s="14" t="s">
        <v>3</v>
      </c>
      <c r="I13" s="1"/>
    </row>
    <row r="14" spans="1:9" x14ac:dyDescent="0.25">
      <c r="A14" s="1"/>
      <c r="B14" s="46"/>
      <c r="C14" s="47"/>
      <c r="D14" s="47"/>
      <c r="E14" s="47"/>
      <c r="F14" s="47"/>
      <c r="G14" s="47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8" t="s">
        <v>99</v>
      </c>
      <c r="C16" s="99"/>
      <c r="D16" s="99"/>
      <c r="E16" s="99"/>
      <c r="F16" s="99"/>
      <c r="G16" s="99"/>
      <c r="H16" s="100"/>
      <c r="I16" s="1"/>
    </row>
    <row r="17" spans="1:9" x14ac:dyDescent="0.25">
      <c r="A17" s="1"/>
      <c r="B17" s="101" t="s">
        <v>91</v>
      </c>
      <c r="C17" s="102"/>
      <c r="D17" s="102"/>
      <c r="E17" s="102"/>
      <c r="F17" s="103"/>
      <c r="G17" s="26">
        <f>(G13/'Fane 14. Nøgletal'!C25-G13)*(1+'Fane 14. Nøgletal'!C11)</f>
        <v>9068935.0060553122</v>
      </c>
      <c r="H17" s="14" t="s">
        <v>3</v>
      </c>
      <c r="I17" s="1"/>
    </row>
    <row r="18" spans="1:9" x14ac:dyDescent="0.25">
      <c r="A18" s="1"/>
      <c r="B18" s="101" t="s">
        <v>222</v>
      </c>
      <c r="C18" s="102"/>
      <c r="D18" s="102"/>
      <c r="E18" s="102"/>
      <c r="F18" s="103"/>
      <c r="G18" s="26">
        <v>-16691.825071318628</v>
      </c>
      <c r="H18" s="14" t="s">
        <v>3</v>
      </c>
      <c r="I18" s="1"/>
    </row>
    <row r="19" spans="1:9" x14ac:dyDescent="0.25">
      <c r="A19" s="1"/>
      <c r="B19" s="104" t="s">
        <v>92</v>
      </c>
      <c r="C19" s="105"/>
      <c r="D19" s="105"/>
      <c r="E19" s="105"/>
      <c r="F19" s="106"/>
      <c r="G19" s="26">
        <v>0</v>
      </c>
      <c r="H19" s="14" t="s">
        <v>3</v>
      </c>
      <c r="I19" s="1"/>
    </row>
    <row r="20" spans="1:9" x14ac:dyDescent="0.25">
      <c r="A20" s="1"/>
      <c r="B20" s="101" t="s">
        <v>93</v>
      </c>
      <c r="C20" s="102"/>
      <c r="D20" s="102"/>
      <c r="E20" s="102"/>
      <c r="F20" s="103"/>
      <c r="G20" s="26">
        <f>SUM(G17:G19)*'Fane 14. Nøgletal'!C25</f>
        <v>181044.86361967988</v>
      </c>
      <c r="H20" s="14" t="s">
        <v>3</v>
      </c>
      <c r="I20" s="1"/>
    </row>
    <row r="21" spans="1:9" x14ac:dyDescent="0.25">
      <c r="A21" s="1"/>
      <c r="B21" s="46"/>
      <c r="C21" s="47"/>
      <c r="D21" s="47"/>
      <c r="E21" s="47"/>
      <c r="F21" s="47"/>
      <c r="G21" s="47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8" t="s">
        <v>100</v>
      </c>
      <c r="C23" s="99"/>
      <c r="D23" s="99"/>
      <c r="E23" s="99"/>
      <c r="F23" s="99"/>
      <c r="G23" s="99"/>
      <c r="H23" s="100"/>
      <c r="I23" s="1"/>
    </row>
    <row r="24" spans="1:9" x14ac:dyDescent="0.25">
      <c r="A24" s="1"/>
      <c r="B24" s="101" t="s">
        <v>94</v>
      </c>
      <c r="C24" s="102"/>
      <c r="D24" s="102"/>
      <c r="E24" s="102"/>
      <c r="F24" s="103"/>
      <c r="G24" s="26">
        <f>(SUM(G17:G19)-G20)*(1+'Fane 14. Nøgletal'!C11)</f>
        <v>9021121.5689277705</v>
      </c>
      <c r="H24" s="14" t="s">
        <v>3</v>
      </c>
      <c r="I24" s="1"/>
    </row>
    <row r="25" spans="1:9" x14ac:dyDescent="0.25">
      <c r="A25" s="1"/>
      <c r="B25" s="104" t="s">
        <v>95</v>
      </c>
      <c r="C25" s="105"/>
      <c r="D25" s="105"/>
      <c r="E25" s="105"/>
      <c r="F25" s="106"/>
      <c r="G25" s="26">
        <f>('Fane 2.1. Økonomisk ramme 2020'!C10+'Fane 2.1. Økonomisk ramme 2020'!C12+'Fane 2.1. Økonomisk ramme 2020'!C14)*(1+'Fane 14. Nøgletal'!C12)</f>
        <v>133510.87033218</v>
      </c>
      <c r="H25" s="14" t="s">
        <v>3</v>
      </c>
      <c r="I25" s="1"/>
    </row>
    <row r="26" spans="1:9" x14ac:dyDescent="0.25">
      <c r="A26" s="1"/>
      <c r="B26" s="101" t="s">
        <v>96</v>
      </c>
      <c r="C26" s="102"/>
      <c r="D26" s="102"/>
      <c r="E26" s="102"/>
      <c r="F26" s="103"/>
      <c r="G26" s="26">
        <f>(G24+G25)*'Fane 14. Nøgletal'!C25</f>
        <v>183092.64878519901</v>
      </c>
      <c r="H26" s="14" t="s">
        <v>3</v>
      </c>
      <c r="I26" s="1"/>
    </row>
    <row r="27" spans="1:9" x14ac:dyDescent="0.25">
      <c r="A27" s="1"/>
      <c r="B27" s="46"/>
      <c r="C27" s="47"/>
      <c r="D27" s="47"/>
      <c r="E27" s="47"/>
      <c r="F27" s="47"/>
      <c r="G27" s="47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8" t="s">
        <v>191</v>
      </c>
      <c r="C29" s="99"/>
      <c r="D29" s="99"/>
      <c r="E29" s="99"/>
      <c r="F29" s="99"/>
      <c r="G29" s="99"/>
      <c r="H29" s="100"/>
      <c r="I29" s="1"/>
    </row>
    <row r="30" spans="1:9" x14ac:dyDescent="0.25">
      <c r="A30" s="1"/>
      <c r="B30" s="101" t="s">
        <v>103</v>
      </c>
      <c r="C30" s="102"/>
      <c r="D30" s="102"/>
      <c r="E30" s="102"/>
      <c r="F30" s="103"/>
      <c r="G30" s="26">
        <f>(G24+G25-G26)*(1+'Fane 14. Nøgletal'!C12)</f>
        <v>9148279.1243471056</v>
      </c>
      <c r="H30" s="14" t="s">
        <v>3</v>
      </c>
      <c r="I30" s="1"/>
    </row>
    <row r="31" spans="1:9" x14ac:dyDescent="0.25">
      <c r="A31" s="1"/>
      <c r="B31" s="101" t="s">
        <v>145</v>
      </c>
      <c r="C31" s="102"/>
      <c r="D31" s="102"/>
      <c r="E31" s="102"/>
      <c r="F31" s="103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101" t="s">
        <v>220</v>
      </c>
      <c r="C32" s="102"/>
      <c r="D32" s="102"/>
      <c r="E32" s="102"/>
      <c r="F32" s="103"/>
      <c r="G32" s="26">
        <f>(G30+G31)*'Fane 14. Nøgletal'!C25</f>
        <v>182965.58248694212</v>
      </c>
      <c r="H32" s="14" t="s">
        <v>3</v>
      </c>
      <c r="I32" s="1"/>
    </row>
    <row r="33" spans="1:9" x14ac:dyDescent="0.25">
      <c r="A33" s="1"/>
      <c r="B33" s="46"/>
      <c r="C33" s="47"/>
      <c r="D33" s="47"/>
      <c r="E33" s="47"/>
      <c r="F33" s="47"/>
      <c r="G33" s="47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8" t="s">
        <v>126</v>
      </c>
      <c r="C35" s="99"/>
      <c r="D35" s="99"/>
      <c r="E35" s="99"/>
      <c r="F35" s="99"/>
      <c r="G35" s="99"/>
      <c r="H35" s="100"/>
      <c r="I35" s="1"/>
    </row>
    <row r="36" spans="1:9" x14ac:dyDescent="0.25">
      <c r="A36" s="1"/>
      <c r="B36" s="101" t="s">
        <v>125</v>
      </c>
      <c r="C36" s="102"/>
      <c r="D36" s="102"/>
      <c r="E36" s="102"/>
      <c r="F36" s="103"/>
      <c r="G36" s="26">
        <f>(G30-G32)*(1+'Fane 14. Nøgletal'!C12)</f>
        <v>9141930.2186348084</v>
      </c>
      <c r="H36" s="14" t="s">
        <v>3</v>
      </c>
      <c r="I36" s="1"/>
    </row>
    <row r="37" spans="1:9" x14ac:dyDescent="0.25">
      <c r="A37" s="1"/>
      <c r="B37" s="101" t="s">
        <v>146</v>
      </c>
      <c r="C37" s="102"/>
      <c r="D37" s="102"/>
      <c r="E37" s="102"/>
      <c r="F37" s="103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101" t="s">
        <v>104</v>
      </c>
      <c r="C38" s="102"/>
      <c r="D38" s="102"/>
      <c r="E38" s="102"/>
      <c r="F38" s="103"/>
      <c r="G38" s="26">
        <f>(G36+G37)*'Fane 14. Nøgletal'!C25</f>
        <v>182838.60437269617</v>
      </c>
      <c r="H38" s="14" t="s">
        <v>3</v>
      </c>
      <c r="I38" s="1"/>
    </row>
    <row r="39" spans="1:9" x14ac:dyDescent="0.25">
      <c r="A39" s="1"/>
      <c r="B39" s="46"/>
      <c r="C39" s="47"/>
      <c r="D39" s="47"/>
      <c r="E39" s="47"/>
      <c r="F39" s="47"/>
      <c r="G39" s="47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8" t="s">
        <v>127</v>
      </c>
      <c r="C41" s="99"/>
      <c r="D41" s="99"/>
      <c r="E41" s="99"/>
      <c r="F41" s="99"/>
      <c r="G41" s="99"/>
      <c r="H41" s="100"/>
      <c r="I41" s="1"/>
    </row>
    <row r="42" spans="1:9" x14ac:dyDescent="0.25">
      <c r="A42" s="1"/>
      <c r="B42" s="101" t="s">
        <v>124</v>
      </c>
      <c r="C42" s="102"/>
      <c r="D42" s="102"/>
      <c r="E42" s="102"/>
      <c r="F42" s="103"/>
      <c r="G42" s="26">
        <f>(G36-G38)*(1+'Fane 14. Nøgletal'!C12)</f>
        <v>9135585.7190630753</v>
      </c>
      <c r="H42" s="14" t="s">
        <v>3</v>
      </c>
      <c r="I42" s="1"/>
    </row>
    <row r="43" spans="1:9" x14ac:dyDescent="0.25">
      <c r="A43" s="1"/>
      <c r="B43" s="101" t="s">
        <v>147</v>
      </c>
      <c r="C43" s="102"/>
      <c r="D43" s="102"/>
      <c r="E43" s="102"/>
      <c r="F43" s="103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101" t="s">
        <v>105</v>
      </c>
      <c r="C44" s="102"/>
      <c r="D44" s="102"/>
      <c r="E44" s="102"/>
      <c r="F44" s="103"/>
      <c r="G44" s="26">
        <f>(G42+G43)*'Fane 14. Nøgletal'!C25</f>
        <v>182711.7143812615</v>
      </c>
      <c r="H44" s="14" t="s">
        <v>3</v>
      </c>
      <c r="I44" s="1"/>
    </row>
    <row r="45" spans="1:9" x14ac:dyDescent="0.25">
      <c r="A45" s="1"/>
      <c r="B45" s="46"/>
      <c r="C45" s="47"/>
      <c r="D45" s="47"/>
      <c r="E45" s="47"/>
      <c r="F45" s="47"/>
      <c r="G45" s="47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0rapTyUVbgfVGdmDwKl9Ei4IjzSCab5KZlzav3Nwp8C+lKQ7FXUhcW0877RFhxY32sfGv/QGVHsszUvqsVyHMA==" saltValue="4D7zntF46NlyBvLZXMluaA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7" t="s">
        <v>203</v>
      </c>
      <c r="C2" s="107"/>
      <c r="D2" s="107"/>
      <c r="E2" s="107"/>
      <c r="F2" s="107"/>
      <c r="G2" s="107"/>
      <c r="H2" s="107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8" t="s">
        <v>101</v>
      </c>
      <c r="C4" s="99"/>
      <c r="D4" s="99"/>
      <c r="E4" s="99"/>
      <c r="F4" s="99"/>
      <c r="G4" s="99"/>
      <c r="H4" s="100"/>
      <c r="I4" s="1"/>
    </row>
    <row r="5" spans="1:9" x14ac:dyDescent="0.25">
      <c r="A5" s="1"/>
      <c r="B5" s="101" t="s">
        <v>106</v>
      </c>
      <c r="C5" s="102"/>
      <c r="D5" s="102"/>
      <c r="E5" s="102"/>
      <c r="F5" s="103"/>
      <c r="G5" s="26">
        <v>12941210.375506559</v>
      </c>
      <c r="H5" s="14" t="s">
        <v>3</v>
      </c>
      <c r="I5" s="1"/>
    </row>
    <row r="6" spans="1:9" x14ac:dyDescent="0.25">
      <c r="A6" s="1"/>
      <c r="B6" s="101" t="s">
        <v>102</v>
      </c>
      <c r="C6" s="102"/>
      <c r="D6" s="102"/>
      <c r="E6" s="102"/>
      <c r="F6" s="103"/>
      <c r="G6" s="26">
        <f>G5*'Fane 14. Nøgletal'!C17</f>
        <v>117765.01441710969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8" t="s">
        <v>107</v>
      </c>
      <c r="C9" s="99"/>
      <c r="D9" s="99"/>
      <c r="E9" s="99"/>
      <c r="F9" s="99"/>
      <c r="G9" s="99"/>
      <c r="H9" s="100"/>
      <c r="I9" s="1"/>
    </row>
    <row r="10" spans="1:9" x14ac:dyDescent="0.25">
      <c r="A10" s="1"/>
      <c r="B10" s="101" t="s">
        <v>108</v>
      </c>
      <c r="C10" s="102"/>
      <c r="D10" s="102"/>
      <c r="E10" s="102"/>
      <c r="F10" s="103"/>
      <c r="G10" s="26">
        <f>(G5-G6)*(1+'Fane 14. Nøgletal'!C9)</f>
        <v>12986303.117175285</v>
      </c>
      <c r="H10" s="14" t="s">
        <v>3</v>
      </c>
      <c r="I10" s="1"/>
    </row>
    <row r="11" spans="1:9" x14ac:dyDescent="0.25">
      <c r="A11" s="1"/>
      <c r="B11" s="104" t="s">
        <v>109</v>
      </c>
      <c r="C11" s="105"/>
      <c r="D11" s="105"/>
      <c r="E11" s="105"/>
      <c r="F11" s="106"/>
      <c r="G11" s="26">
        <v>0</v>
      </c>
      <c r="H11" s="14" t="s">
        <v>3</v>
      </c>
      <c r="I11" s="1"/>
    </row>
    <row r="12" spans="1:9" x14ac:dyDescent="0.25">
      <c r="A12" s="1"/>
      <c r="B12" s="101" t="s">
        <v>110</v>
      </c>
      <c r="C12" s="102"/>
      <c r="D12" s="102"/>
      <c r="E12" s="102"/>
      <c r="F12" s="103"/>
      <c r="G12" s="26">
        <f>G10*'Fane 14. Nøgletal'!C17+G11*'Fane 14. Nøgletal'!C18</f>
        <v>118175.3583662951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8" t="s">
        <v>111</v>
      </c>
      <c r="C15" s="99"/>
      <c r="D15" s="99"/>
      <c r="E15" s="99"/>
      <c r="F15" s="99"/>
      <c r="G15" s="99"/>
      <c r="H15" s="100"/>
      <c r="I15" s="1"/>
    </row>
    <row r="16" spans="1:9" x14ac:dyDescent="0.25">
      <c r="A16" s="1"/>
      <c r="B16" s="101" t="s">
        <v>112</v>
      </c>
      <c r="C16" s="102"/>
      <c r="D16" s="102"/>
      <c r="E16" s="102"/>
      <c r="F16" s="103"/>
      <c r="G16" s="26">
        <f>(G10+G11-G12)*(1+'Fane 14. Nøgletal'!C11)</f>
        <v>13085599.11793286</v>
      </c>
      <c r="H16" s="14" t="s">
        <v>3</v>
      </c>
      <c r="I16" s="1"/>
    </row>
    <row r="17" spans="1:9" x14ac:dyDescent="0.25">
      <c r="A17" s="1"/>
      <c r="B17" s="101" t="s">
        <v>223</v>
      </c>
      <c r="C17" s="102"/>
      <c r="D17" s="102"/>
      <c r="E17" s="102"/>
      <c r="F17" s="103"/>
      <c r="G17" s="26">
        <v>-69148.200792945747</v>
      </c>
      <c r="H17" s="14" t="s">
        <v>3</v>
      </c>
      <c r="I17" s="1"/>
    </row>
    <row r="18" spans="1:9" x14ac:dyDescent="0.25">
      <c r="A18" s="1"/>
      <c r="B18" s="104" t="s">
        <v>113</v>
      </c>
      <c r="C18" s="105"/>
      <c r="D18" s="105"/>
      <c r="E18" s="105"/>
      <c r="F18" s="106"/>
      <c r="G18" s="26">
        <v>150503.97171021733</v>
      </c>
      <c r="H18" s="14" t="s">
        <v>3</v>
      </c>
      <c r="I18" s="1"/>
    </row>
    <row r="19" spans="1:9" x14ac:dyDescent="0.25">
      <c r="A19" s="1"/>
      <c r="B19" s="101" t="s">
        <v>114</v>
      </c>
      <c r="C19" s="102"/>
      <c r="D19" s="102"/>
      <c r="E19" s="102"/>
      <c r="F19" s="103"/>
      <c r="G19" s="26">
        <f>SUM(G16:G18)*'Fane 14. Nøgletal'!C19</f>
        <v>114552.50753299614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8" t="s">
        <v>115</v>
      </c>
      <c r="C22" s="99"/>
      <c r="D22" s="99"/>
      <c r="E22" s="99"/>
      <c r="F22" s="99"/>
      <c r="G22" s="99"/>
      <c r="H22" s="100"/>
      <c r="I22" s="1"/>
    </row>
    <row r="23" spans="1:9" x14ac:dyDescent="0.25">
      <c r="A23" s="1"/>
      <c r="B23" s="101" t="s">
        <v>116</v>
      </c>
      <c r="C23" s="102"/>
      <c r="D23" s="102"/>
      <c r="E23" s="102"/>
      <c r="F23" s="103"/>
      <c r="G23" s="26">
        <f>(SUM(G16:G18)-G19)*(1+'Fane 14. Nøgletal'!C11)</f>
        <v>13272987.981561393</v>
      </c>
      <c r="H23" s="14" t="s">
        <v>3</v>
      </c>
      <c r="I23" s="1"/>
    </row>
    <row r="24" spans="1:9" x14ac:dyDescent="0.25">
      <c r="A24" s="1"/>
      <c r="B24" s="104" t="s">
        <v>117</v>
      </c>
      <c r="C24" s="105"/>
      <c r="D24" s="105"/>
      <c r="E24" s="105"/>
      <c r="F24" s="106"/>
      <c r="G24" s="26">
        <f>('Fane 2.1. Økonomisk ramme 2020'!C11+'Fane 2.1. Økonomisk ramme 2020'!C13+'Fane 2.1. Økonomisk ramme 2020'!C15)*(1+'Fane 14. Nøgletal'!C12)</f>
        <v>1010163.6807377673</v>
      </c>
      <c r="H24" s="14" t="s">
        <v>3</v>
      </c>
      <c r="I24" s="1"/>
    </row>
    <row r="25" spans="1:9" x14ac:dyDescent="0.25">
      <c r="A25" s="1"/>
      <c r="B25" s="101" t="s">
        <v>118</v>
      </c>
      <c r="C25" s="102"/>
      <c r="D25" s="102"/>
      <c r="E25" s="102"/>
      <c r="F25" s="103"/>
      <c r="G25" s="26">
        <f>G23*'Fane 14. Nøgletal'!C19+G24*'Fane 14. Nøgletal'!C20</f>
        <v>144163.64397253669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8" t="s">
        <v>190</v>
      </c>
      <c r="C28" s="99"/>
      <c r="D28" s="99"/>
      <c r="E28" s="99"/>
      <c r="F28" s="99"/>
      <c r="G28" s="99"/>
      <c r="H28" s="100"/>
      <c r="I28" s="1"/>
    </row>
    <row r="29" spans="1:9" x14ac:dyDescent="0.25">
      <c r="A29" s="1"/>
      <c r="B29" s="101" t="s">
        <v>119</v>
      </c>
      <c r="C29" s="102"/>
      <c r="D29" s="102"/>
      <c r="E29" s="102"/>
      <c r="F29" s="103"/>
      <c r="G29" s="26">
        <f>(G23+G24-G25)*(1+'Fane 14. Nøgletal'!C12)</f>
        <v>14417526.082287658</v>
      </c>
      <c r="H29" s="14" t="s">
        <v>3</v>
      </c>
      <c r="I29" s="1"/>
    </row>
    <row r="30" spans="1:9" x14ac:dyDescent="0.25">
      <c r="A30" s="1"/>
      <c r="B30" s="101" t="s">
        <v>151</v>
      </c>
      <c r="C30" s="102"/>
      <c r="D30" s="102"/>
      <c r="E30" s="102"/>
      <c r="F30" s="103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101" t="s">
        <v>219</v>
      </c>
      <c r="C31" s="102"/>
      <c r="D31" s="102"/>
      <c r="E31" s="102"/>
      <c r="F31" s="103"/>
      <c r="G31" s="26">
        <f>(G29+G30)*'Fane 14. Nøgletal'!C20</f>
        <v>409457.74073696951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8" t="s">
        <v>128</v>
      </c>
      <c r="C34" s="99"/>
      <c r="D34" s="99"/>
      <c r="E34" s="99"/>
      <c r="F34" s="99"/>
      <c r="G34" s="99"/>
      <c r="H34" s="100"/>
      <c r="I34" s="1"/>
    </row>
    <row r="35" spans="1:9" x14ac:dyDescent="0.25">
      <c r="A35" s="1"/>
      <c r="B35" s="101" t="s">
        <v>123</v>
      </c>
      <c r="C35" s="102"/>
      <c r="D35" s="102"/>
      <c r="E35" s="102"/>
      <c r="F35" s="103"/>
      <c r="G35" s="26">
        <f>(G29-G31)*(1+'Fane 14. Nøgletal'!C12)</f>
        <v>14284027.287879238</v>
      </c>
      <c r="H35" s="14" t="s">
        <v>3</v>
      </c>
      <c r="I35" s="1"/>
    </row>
    <row r="36" spans="1:9" x14ac:dyDescent="0.25">
      <c r="A36" s="1"/>
      <c r="B36" s="101" t="s">
        <v>152</v>
      </c>
      <c r="C36" s="102"/>
      <c r="D36" s="102"/>
      <c r="E36" s="102"/>
      <c r="F36" s="103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101" t="s">
        <v>120</v>
      </c>
      <c r="C37" s="102"/>
      <c r="D37" s="102"/>
      <c r="E37" s="102"/>
      <c r="F37" s="103"/>
      <c r="G37" s="26">
        <f>(G35+G36)*'Fane 14. Nøgletal'!C20</f>
        <v>405666.37497577036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8" t="s">
        <v>129</v>
      </c>
      <c r="C40" s="99"/>
      <c r="D40" s="99"/>
      <c r="E40" s="99"/>
      <c r="F40" s="99"/>
      <c r="G40" s="99"/>
      <c r="H40" s="100"/>
      <c r="I40" s="1"/>
    </row>
    <row r="41" spans="1:9" x14ac:dyDescent="0.25">
      <c r="A41" s="1"/>
      <c r="B41" s="101" t="s">
        <v>122</v>
      </c>
      <c r="C41" s="102"/>
      <c r="D41" s="102"/>
      <c r="E41" s="102"/>
      <c r="F41" s="103"/>
      <c r="G41" s="26">
        <f>(G35-G37)*(1+'Fane 14. Nøgletal'!C12)</f>
        <v>14151764.622887665</v>
      </c>
      <c r="H41" s="14" t="s">
        <v>3</v>
      </c>
      <c r="I41" s="1"/>
    </row>
    <row r="42" spans="1:9" x14ac:dyDescent="0.25">
      <c r="A42" s="1"/>
      <c r="B42" s="101" t="s">
        <v>153</v>
      </c>
      <c r="C42" s="102"/>
      <c r="D42" s="102"/>
      <c r="E42" s="102"/>
      <c r="F42" s="103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101" t="s">
        <v>121</v>
      </c>
      <c r="C43" s="102"/>
      <c r="D43" s="102"/>
      <c r="E43" s="102"/>
      <c r="F43" s="103"/>
      <c r="G43" s="26">
        <f>(G41+G42)*'Fane 14. Nøgletal'!C20</f>
        <v>401910.11529000971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HOFWsKGqklgJ2L8twsSPwxbxqb5pMhBcjPMLiY1jLCilSq0y9l9VNwyscMQrOBo+H4kOEUugA5rVb7uZqvQ+CA==" saltValue="ORh8B+oJwgFu+rX6DtzmZQ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144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178</v>
      </c>
      <c r="C9" s="102"/>
      <c r="D9" s="102"/>
      <c r="E9" s="102"/>
      <c r="F9" s="103"/>
      <c r="G9" s="25">
        <v>3.0231318667095506E-3</v>
      </c>
      <c r="H9" s="14"/>
      <c r="I9" s="1"/>
    </row>
    <row r="10" spans="1:9" x14ac:dyDescent="0.25">
      <c r="A10" s="1"/>
      <c r="B10" s="101" t="s">
        <v>179</v>
      </c>
      <c r="C10" s="102"/>
      <c r="D10" s="102"/>
      <c r="E10" s="102"/>
      <c r="F10" s="103"/>
      <c r="G10" s="25">
        <v>1.4565360422358694E-2</v>
      </c>
      <c r="H10" s="14"/>
      <c r="I10" s="1"/>
    </row>
    <row r="11" spans="1:9" x14ac:dyDescent="0.25">
      <c r="A11" s="1"/>
      <c r="B11" s="46"/>
      <c r="C11" s="47"/>
      <c r="D11" s="47"/>
      <c r="E11" s="47"/>
      <c r="F11" s="47"/>
      <c r="G11" s="47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8"/>
      <c r="C13" s="108"/>
      <c r="D13" s="108"/>
      <c r="E13" s="108"/>
      <c r="F13" s="108"/>
      <c r="G13" s="108"/>
      <c r="H13" s="108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9pzohGq/tSqylftbX5TXfjkBWWHxBx9mA9O7riLhLA2XczNDP2ardWkua8SVMwgm2cqW9EdmbA+HyhjvCCBPXw==" saltValue="q3hBoTeLfkZ3kfKDqcY8hw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2019-10-10T16:10:19Z</dcterms:modified>
</cp:coreProperties>
</file>