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Frederikshavn Vand AS (V057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8" sheetId="32" r:id="rId11"/>
    <sheet name="Fane 8. Korrektioner" sheetId="40" r:id="rId12"/>
    <sheet name="Fane 9. Anlægsprojekter" sheetId="11" r:id="rId13"/>
    <sheet name="Fane 10.1. Varige tillæg" sheetId="37" r:id="rId14"/>
    <sheet name="Fane 10.2. Engangstillæg" sheetId="39" r:id="rId15"/>
    <sheet name="Fane 11. Tilknyttet aktivitet" sheetId="29" r:id="rId16"/>
    <sheet name="Fane 12. Bortfald" sheetId="21" r:id="rId17"/>
    <sheet name="Fane 13. Hist. over-underdæk." sheetId="10" r:id="rId18"/>
    <sheet name="Fane 14. Nøgletal" sheetId="26" r:id="rId19"/>
  </sheets>
  <externalReferences>
    <externalReference r:id="rId20"/>
  </externalReferences>
  <definedNames>
    <definedName name="Pris19">[1]Nøgletal!$C$5</definedName>
  </definedNames>
  <calcPr calcId="162913"/>
</workbook>
</file>

<file path=xl/calcChain.xml><?xml version="1.0" encoding="utf-8"?>
<calcChain xmlns="http://schemas.openxmlformats.org/spreadsheetml/2006/main">
  <c r="E11" i="11" l="1"/>
  <c r="E10" i="11"/>
  <c r="E18" i="32" l="1"/>
  <c r="E9" i="32"/>
  <c r="E32" i="32" l="1"/>
  <c r="E9" i="40"/>
  <c r="G7" i="30" l="1"/>
  <c r="E10" i="40" l="1"/>
  <c r="C32" i="2" s="1"/>
  <c r="E32" i="21" l="1"/>
  <c r="E33" i="21" s="1"/>
  <c r="C32" i="21"/>
  <c r="C33" i="21" s="1"/>
  <c r="E25" i="21"/>
  <c r="E26" i="21" s="1"/>
  <c r="C25" i="21"/>
  <c r="C26" i="21" s="1"/>
  <c r="E18" i="21"/>
  <c r="E19" i="21" s="1"/>
  <c r="C18" i="21"/>
  <c r="C19" i="21" s="1"/>
  <c r="G30" i="36" l="1"/>
  <c r="C11" i="15"/>
  <c r="G31" i="30"/>
  <c r="C10" i="15"/>
  <c r="G37" i="30"/>
  <c r="C9" i="22"/>
  <c r="G36" i="36"/>
  <c r="C10" i="22"/>
  <c r="G42" i="36"/>
  <c r="C10" i="23"/>
  <c r="C9" i="23"/>
  <c r="G43" i="30"/>
  <c r="E36" i="39"/>
  <c r="C36" i="39"/>
  <c r="E28" i="39"/>
  <c r="C28" i="39"/>
  <c r="E20" i="39"/>
  <c r="C20" i="39"/>
  <c r="E12" i="39"/>
  <c r="C12" i="39"/>
  <c r="C14" i="39" l="1"/>
  <c r="C13" i="39"/>
  <c r="C30" i="39"/>
  <c r="C29" i="39"/>
  <c r="C31" i="39" s="1"/>
  <c r="C19" i="22" s="1"/>
  <c r="C22" i="39"/>
  <c r="C21" i="39"/>
  <c r="C23" i="39" s="1"/>
  <c r="C20" i="15" s="1"/>
  <c r="E14" i="39"/>
  <c r="E13" i="39"/>
  <c r="E15" i="39" s="1"/>
  <c r="C25" i="2" s="1"/>
  <c r="E30" i="39"/>
  <c r="E29" i="39"/>
  <c r="E31" i="39" s="1"/>
  <c r="C20" i="22" s="1"/>
  <c r="C38" i="39"/>
  <c r="C37" i="39"/>
  <c r="E22" i="39"/>
  <c r="E21" i="39"/>
  <c r="E38" i="39"/>
  <c r="E37" i="39"/>
  <c r="C39" i="39" l="1"/>
  <c r="C19" i="23" s="1"/>
  <c r="E39" i="39"/>
  <c r="C20" i="23" s="1"/>
  <c r="E23" i="39"/>
  <c r="C21" i="15" s="1"/>
  <c r="C21" i="22"/>
  <c r="C15" i="39"/>
  <c r="C24" i="2" s="1"/>
  <c r="G12" i="10"/>
  <c r="G14" i="10" s="1"/>
  <c r="C21" i="23" l="1"/>
  <c r="C22" i="15"/>
  <c r="C26" i="2"/>
  <c r="G6" i="36" l="1"/>
  <c r="G10" i="36" l="1"/>
  <c r="G11" i="30"/>
  <c r="G13" i="30" s="1"/>
  <c r="G17" i="30" s="1"/>
  <c r="G12" i="36" l="1"/>
  <c r="G16" i="36" s="1"/>
  <c r="G19" i="36" l="1"/>
  <c r="G23" i="36" s="1"/>
  <c r="G20" i="30" l="1"/>
  <c r="G24" i="30" s="1"/>
  <c r="E21" i="27"/>
  <c r="E20" i="27" l="1"/>
  <c r="E18" i="27" l="1"/>
  <c r="E27" i="32" l="1"/>
  <c r="E37" i="32" l="1"/>
  <c r="E39" i="32" s="1"/>
  <c r="C24" i="15" s="1"/>
  <c r="C23" i="22" s="1"/>
  <c r="C30" i="2"/>
  <c r="F12" i="11" l="1"/>
  <c r="C10" i="37" s="1"/>
  <c r="C15" i="37" s="1"/>
  <c r="C16" i="37" s="1"/>
  <c r="C10" i="2" s="1"/>
  <c r="G12" i="11"/>
  <c r="E11" i="21" l="1"/>
  <c r="C11" i="21"/>
  <c r="E11" i="29"/>
  <c r="C11" i="29"/>
  <c r="C14" i="19"/>
  <c r="C15" i="19" s="1"/>
  <c r="C12" i="29" l="1"/>
  <c r="C14" i="2" s="1"/>
  <c r="E12" i="29"/>
  <c r="C15" i="2" s="1"/>
  <c r="C17" i="23"/>
  <c r="C17" i="22"/>
  <c r="C18" i="15"/>
  <c r="C22" i="2"/>
  <c r="E12" i="21"/>
  <c r="C13" i="2" s="1"/>
  <c r="C12" i="21"/>
  <c r="C12" i="2" s="1"/>
  <c r="G25" i="30" l="1"/>
  <c r="G26" i="30" s="1"/>
  <c r="C18" i="2" l="1"/>
  <c r="G30" i="30" l="1"/>
  <c r="G32" i="30" s="1"/>
  <c r="E12" i="11"/>
  <c r="E10" i="37" s="1"/>
  <c r="E15" i="37" s="1"/>
  <c r="E16" i="37" s="1"/>
  <c r="C11" i="2" s="1"/>
  <c r="G24" i="36" s="1"/>
  <c r="G25" i="36" s="1"/>
  <c r="C28" i="2"/>
  <c r="C14" i="15" l="1"/>
  <c r="G36" i="30" l="1"/>
  <c r="G38" i="30" s="1"/>
  <c r="C13" i="22" l="1"/>
  <c r="G42" i="30" l="1"/>
  <c r="C19" i="2"/>
  <c r="G29" i="36"/>
  <c r="G31" i="36" s="1"/>
  <c r="G44" i="30" l="1"/>
  <c r="C13" i="23" s="1"/>
  <c r="G35" i="36"/>
  <c r="G37" i="36" s="1"/>
  <c r="C15" i="15" l="1"/>
  <c r="C14" i="22"/>
  <c r="G41" i="36" l="1"/>
  <c r="G43" i="36" s="1"/>
  <c r="C14" i="23" l="1"/>
  <c r="E19" i="27"/>
  <c r="E22" i="27" s="1"/>
  <c r="E31" i="27" l="1"/>
  <c r="C9" i="2"/>
  <c r="C16" i="2" s="1"/>
  <c r="C17" i="2" l="1"/>
  <c r="C20" i="2" s="1"/>
  <c r="C33" i="2" l="1"/>
  <c r="C9" i="15"/>
  <c r="C12" i="15" l="1"/>
  <c r="C13" i="15" s="1"/>
  <c r="C16" i="15" l="1"/>
  <c r="C25" i="15" s="1"/>
  <c r="C8" i="22" l="1"/>
  <c r="C11" i="22" s="1"/>
  <c r="C12" i="22" s="1"/>
  <c r="C15" i="22" l="1"/>
  <c r="C24" i="22" l="1"/>
  <c r="C8" i="23"/>
  <c r="C11" i="23" l="1"/>
  <c r="C12" i="23" s="1"/>
  <c r="C15" i="23" l="1"/>
  <c r="C22" i="23" s="1"/>
</calcChain>
</file>

<file path=xl/sharedStrings.xml><?xml version="1.0" encoding="utf-8"?>
<sst xmlns="http://schemas.openxmlformats.org/spreadsheetml/2006/main" count="608" uniqueCount="248">
  <si>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</si>
  <si>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</si>
  <si>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</si>
  <si>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</si>
  <si>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</si>
  <si>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</si>
  <si>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</si>
  <si>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</si>
  <si>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</si>
  <si>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</si>
  <si>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</si>
  <si>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</si>
  <si>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</si>
  <si>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</si>
  <si>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</si>
  <si>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</si>
  <si>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</si>
  <si>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</si>
  <si>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</si>
  <si>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</si>
  <si>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</si>
  <si>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</si>
  <si>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</si>
  <si>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</si>
  <si>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</si>
  <si>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</si>
  <si>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</si>
  <si>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</si>
  <si>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</si>
  <si>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</si>
  <si>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</si>
  <si>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</si>
  <si>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</si>
  <si>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</si>
  <si>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</si>
  <si>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</si>
  <si>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</si>
  <si>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</si>
  <si>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</si>
  <si>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</si>
  <si>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</si>
  <si>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</si>
  <si>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</si>
  <si>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</si>
  <si>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</si>
  <si>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</si>
  <si>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</si>
  <si>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</si>
  <si>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</si>
  <si>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</si>
  <si>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</si>
  <si>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</si>
  <si>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</si>
  <si>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Korrektion og kontrol med overholdelse af indtægtsrammer</t>
  </si>
  <si>
    <t>Fane 14: Nøgletal</t>
  </si>
  <si>
    <t>Fane 2.3</t>
  </si>
  <si>
    <t>Samlet økonomisk ramme for 2020</t>
  </si>
  <si>
    <t>Fane 2.4</t>
  </si>
  <si>
    <t>Anlægsprojekter</t>
  </si>
  <si>
    <t>Tilknyttet aktivitet</t>
  </si>
  <si>
    <t>Bortfald</t>
  </si>
  <si>
    <t>Fane 13</t>
  </si>
  <si>
    <t>Fane 14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</si>
  <si>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</si>
  <si>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</si>
  <si>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</si>
  <si>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</si>
  <si>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Nye tillæg - Drift</t>
  </si>
  <si>
    <t>Nye tillæg - Anlæg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</si>
  <si>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</si>
  <si>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</si>
  <si>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</si>
  <si>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</si>
  <si>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Prisudvikling til brug for nye omkostninger i ØR2020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</si>
  <si>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</si>
  <si>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</si>
  <si>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</si>
  <si>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</si>
  <si>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</si>
  <si>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</si>
  <si>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Heraf beløb indregnet i prislofterne/de økonomiske rammer for 2011-2019</t>
  </si>
  <si>
    <t>Videreførte omkostninger fra den økonomiske ramme for 2018</t>
  </si>
  <si>
    <t>Korrektion af grundlag - Drift</t>
  </si>
  <si>
    <t>Korrektion af grundlag - Anlæg</t>
  </si>
  <si>
    <t>Oversigt over den økonomiske ramme for 2019</t>
  </si>
  <si>
    <t>Fane 2.2: Samlet økonomisk ramme for 2021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</si>
  <si>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</si>
  <si>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</si>
  <si>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</si>
  <si>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</si>
  <si>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</si>
  <si>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</si>
  <si>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</si>
  <si>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</si>
  <si>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</si>
  <si>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</si>
  <si>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</si>
  <si>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</si>
  <si>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</si>
  <si>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</si>
  <si>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</si>
  <si>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</si>
  <si>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</si>
  <si>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Base for driftsomkostninger til de økonomiske rammer for 2021</t>
  </si>
  <si>
    <t>Vejledende generelt effektiviseringskrav til driftsomkostningerne i ØR22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</si>
  <si>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</si>
  <si>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</si>
  <si>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</si>
  <si>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</si>
  <si>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</si>
  <si>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</si>
  <si>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</si>
  <si>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</si>
  <si>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</si>
  <si>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</si>
  <si>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</si>
  <si>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</si>
  <si>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</si>
  <si>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</si>
  <si>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Base for anlægsomkostninger til de økonomiske rammer for 2021</t>
  </si>
  <si>
    <t>Vejledende generelt effektiviseringskrav til anlægsomkostningerne i ØR22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</si>
  <si>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</si>
  <si>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</si>
  <si>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</si>
  <si>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</si>
  <si>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</si>
  <si>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</si>
  <si>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</si>
  <si>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2022</t>
  </si>
  <si>
    <t>Generelt effektiviseringskrav til anlægsomkostninger i de vejledende økonomiske rammer for 2023</t>
  </si>
  <si>
    <t>Korrektion af budgetterede omkostninger</t>
  </si>
  <si>
    <t>Tillæg/fradrag for kontrol af prisloft 2016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</si>
  <si>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</si>
  <si>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</si>
  <si>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</si>
  <si>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</si>
  <si>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</si>
  <si>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</si>
  <si>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</si>
  <si>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</si>
  <si>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</si>
  <si>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</si>
  <si>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</si>
  <si>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Engangstillæg i alt</t>
  </si>
  <si>
    <t>Fane 5: Individuelt effektiviseringskrav</t>
  </si>
  <si>
    <t>Bortfald af driftsomkostninger i de økonomiske rammer for 2021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</si>
  <si>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</si>
  <si>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</si>
  <si>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</si>
  <si>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</si>
  <si>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</si>
  <si>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2021</t>
  </si>
  <si>
    <t>Bortfald af anlægsomkostninger i de økonomiske rammer for 2022</t>
  </si>
  <si>
    <t>Bortfald af anlægsomkostninger i de økonomiske rammer for 2023</t>
  </si>
  <si>
    <t>Økonomisk ramme for 2023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</si>
  <si>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</si>
  <si>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</si>
  <si>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</si>
  <si>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</si>
  <si>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Andre korrektioner</t>
  </si>
  <si>
    <t>Kontrol med overholdelse af indtægtsrammer</t>
  </si>
  <si>
    <t>Kontrol af den økonomiske ramme for 2018</t>
  </si>
  <si>
    <t>Generelt effektiviseringskrav på drift</t>
  </si>
  <si>
    <t>Generelt effektiviseringskrav på anlæg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</si>
  <si>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</si>
  <si>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</si>
  <si>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</si>
  <si>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</si>
  <si>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</si>
  <si>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</si>
  <si>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</si>
  <si>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</si>
  <si>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</si>
  <si>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</si>
  <si>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</si>
  <si>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</si>
  <si>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Generelt effektiviseringskrav</t>
  </si>
  <si>
    <t>Vejledende økonomisk ramme for 2021</t>
  </si>
  <si>
    <t>Individuelt effektiviseringskrav til de økonomiske rammer for 2017-2018</t>
  </si>
  <si>
    <t>Individuelt effektiviseringskrav til de økonomiske rammer for 2019-2020</t>
  </si>
  <si>
    <t>Til indregning i de økonomiske rammer for 2021-2022</t>
  </si>
  <si>
    <t>Generelt effektiviseringskrav til anlægsomkostningerne</t>
  </si>
  <si>
    <t>Generelt effektiviseringskrav til driftsomkostningerne</t>
  </si>
  <si>
    <t>Fane 12</t>
  </si>
  <si>
    <t>Nøgletal</t>
  </si>
  <si>
    <t>Antal år i næste reguleringsperiode</t>
  </si>
  <si>
    <t>Korrektion og kontrol med prisloft 2016 i alt</t>
  </si>
  <si>
    <t xml:space="preserve">Difference </t>
  </si>
  <si>
    <t xml:space="preserve">Note: Denne opgørelse er taget fra jeres statusmeddelelse for den økonomiske ramme for 2018. I kan derfor ikke komme med høringssvar til denne opgørelse. </t>
  </si>
  <si>
    <t xml:space="preserve">Note: Denne opgørelse er taget fra jeres afgørelse for den økonomiske ramme for 2019. I kan derfor ikke komme med høringssvar til denne opgørelse. </t>
  </si>
  <si>
    <t>Generelt effektiviseringskrav til anlægsomkostninger i de vejledende økonomiske rammer for 2021</t>
  </si>
  <si>
    <t>Generelt effektiviseringskrav til driftsomkostninger i de vejledende økonomiske rammer for 2021</t>
  </si>
  <si>
    <t xml:space="preserve">Til statusmeddelelse for 2020 </t>
  </si>
  <si>
    <t>Fane 2.3: Samlet økonomisk ramme for 2022</t>
  </si>
  <si>
    <t>Fane 2.4: Samlet økonomisk ramme for 2023</t>
  </si>
  <si>
    <t>Fradrag for kontrol med overholdelse af indtægtsrammen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</si>
  <si>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</si>
  <si>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</si>
  <si>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</si>
  <si>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</si>
  <si>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</si>
  <si>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</si>
  <si>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</si>
  <si>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</si>
  <si>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</si>
  <si>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7: Kontrol med overholdelse af den økonomiske ramme for 2018</t>
  </si>
  <si>
    <t>Fane 10.1: Varige tillæg</t>
  </si>
  <si>
    <t>Fane 10.2: Engangstillæg</t>
  </si>
  <si>
    <t>Fane 11: Tilknyttet aktivitet under hovedvirksomheden</t>
  </si>
  <si>
    <t>Fane 12: Bortfald eller nedsættelse af omkostninger til mål, medfinansiering eller udvidelse</t>
  </si>
  <si>
    <t>Fane 13: Historisk over- eller underdækning</t>
  </si>
  <si>
    <t>Prisudvikling til brug for ØR2017-2018</t>
  </si>
  <si>
    <t>Prisudvikling til brug for ØR2019-2020</t>
  </si>
  <si>
    <t>Generelt effektiviseringskrav til brug for anlægsomkostninger i ØR2017-2018</t>
  </si>
  <si>
    <t>Generelt effektiviseringskrav til brug for nye anlægsomkostninger i ØR2018</t>
  </si>
  <si>
    <t>Generelt effektiviseringskrav til brug for anlægsomkostninger i ØR2019-2020</t>
  </si>
  <si>
    <t>Generelt effektiviseringskrav til brug for nye anlægsomkostninger i ØR2020</t>
  </si>
  <si>
    <t>Generelt effektiviseringskrav til brug for driftsomkostninger</t>
  </si>
  <si>
    <t>Tillæg/fradrag for kontrol af den økonomiske ramme for 2018</t>
  </si>
  <si>
    <t>Vejledende generelt effektiviseringskrav til anlægsomkostningerne i ØR21</t>
  </si>
  <si>
    <t>Vejledende generelt effektiviseringskrav til driftsomkostningerne i ØR21</t>
  </si>
  <si>
    <t>Fane 3: Videreførte omkostninger fra den økonomiske ramme for 2019</t>
  </si>
  <si>
    <t>Korrektion af driftsomkostninger i grundlaget</t>
  </si>
  <si>
    <t>Korrektion af anlægsomkostninger i grundlaget</t>
  </si>
  <si>
    <t>Fane 3</t>
  </si>
  <si>
    <t>Korrektion af tidligere rammer</t>
  </si>
  <si>
    <t>Tillæg/fradrag for korrektion af tidligere rammer</t>
  </si>
  <si>
    <t>Fradrag i de økonomiske rammer for 2021-2022 i alt</t>
  </si>
  <si>
    <t>Fane 8: Korrektion af tidligere rammer</t>
  </si>
  <si>
    <t>Fane 9: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</si>
  <si>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</si>
  <si>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</si>
  <si>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</si>
  <si>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</si>
  <si>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Afgift for ledningsført vand</t>
  </si>
  <si>
    <t>Afgift til Forsyningssekretariatet</t>
  </si>
  <si>
    <t>Køb af ydelser og produkter fra andre vandselskaber reguleret af vandsektorloven</t>
  </si>
  <si>
    <t>Ejendomsskat</t>
  </si>
  <si>
    <t>Fjernaflæste målere</t>
  </si>
  <si>
    <t>Overtagelse af Voerså Vandværk</t>
  </si>
  <si>
    <t>Byggemodninger</t>
  </si>
  <si>
    <t>Fornyelse af indvindingstilladelser</t>
  </si>
  <si>
    <t>Ingen engangstillæg</t>
  </si>
  <si>
    <t>Pumpestation (inkl. evt. hydrofor)/trykforøger, SRO</t>
  </si>
  <si>
    <t>Ø110 mm &lt; Ledningsnet ≤ Ø 250 mm</t>
  </si>
  <si>
    <t>Anlægsprojekter igangsat senest 1. marts 2016</t>
  </si>
  <si>
    <t>Til indregning i den økonomiske ramme for 2020</t>
  </si>
  <si>
    <t>Tillæg/fradrag i den økonomiske ramme for 2020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</si>
</sst>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18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9" borderId="1" xfId="0" applyNumberFormat="1" applyFont="1" applyFill="1" applyBorder="1" applyAlignment="1" applyProtection="1"/>
    <xf numFmtId="10" fontId="8" fillId="9" borderId="1" xfId="4" applyNumberFormat="1" applyFont="1" applyFill="1" applyBorder="1" applyProtection="1"/>
    <xf numFmtId="165" fontId="8" fillId="9" borderId="1" xfId="1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10" fontId="8" fillId="9" borderId="1" xfId="4" applyNumberFormat="1" applyFont="1" applyFill="1" applyBorder="1" applyAlignment="1" applyProtection="1"/>
    <xf numFmtId="0" fontId="17" fillId="0" borderId="2" xfId="0" applyFont="1" applyFill="1" applyBorder="1" applyAlignment="1" applyProtection="1"/>
    <xf numFmtId="3" fontId="17" fillId="0" borderId="1" xfId="0" applyNumberFormat="1" applyFont="1" applyFill="1" applyBorder="1" applyProtection="1"/>
    <xf numFmtId="0" fontId="17" fillId="0" borderId="1" xfId="0" applyFont="1" applyFill="1" applyBorder="1" applyProtection="1"/>
    <xf numFmtId="0" fontId="8" fillId="9" borderId="2" xfId="0" quotePrefix="1" applyFont="1" applyFill="1" applyBorder="1" applyAlignment="1" applyProtection="1">
      <alignment horizontal="left" wrapText="1"/>
    </xf>
    <xf numFmtId="3" fontId="7" fillId="3" borderId="6" xfId="0" applyNumberFormat="1" applyFont="1" applyFill="1" applyBorder="1" applyAlignment="1" applyProtection="1"/>
    <xf numFmtId="0" fontId="13" fillId="2" borderId="0" xfId="0" applyFont="1" applyFill="1" applyBorder="1" applyProtection="1"/>
    <xf numFmtId="0" fontId="8" fillId="9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49" fontId="8" fillId="9" borderId="2" xfId="0" applyNumberFormat="1" applyFont="1" applyFill="1" applyBorder="1" applyAlignment="1" applyProtection="1">
      <alignment horizontal="left" wrapText="1"/>
    </xf>
    <xf numFmtId="0" fontId="8" fillId="0" borderId="1" xfId="0" applyNumberFormat="1" applyFont="1" applyFill="1" applyBorder="1" applyProtection="1"/>
    <xf numFmtId="49" fontId="8" fillId="9" borderId="2" xfId="0" applyNumberFormat="1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/>
    </xf>
    <xf numFmtId="0" fontId="13" fillId="7" borderId="4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5" xfId="2" applyFont="1" applyFill="1" applyBorder="1" applyAlignment="1" applyProtection="1">
      <alignment horizontal="center"/>
    </xf>
    <xf numFmtId="0" fontId="1" fillId="8" borderId="4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5" xfId="2" applyFont="1" applyFill="1" applyBorder="1" applyAlignment="1" applyProtection="1">
      <alignment horizontal="center"/>
    </xf>
    <xf numFmtId="0" fontId="1" fillId="10" borderId="4" xfId="2" applyFont="1" applyFill="1" applyBorder="1" applyAlignment="1" applyProtection="1">
      <alignment horizontal="center"/>
    </xf>
    <xf numFmtId="0" fontId="1" fillId="10" borderId="0" xfId="2" applyFont="1" applyFill="1" applyBorder="1" applyAlignment="1" applyProtection="1">
      <alignment horizontal="center"/>
    </xf>
    <xf numFmtId="0" fontId="1" fillId="10" borderId="5" xfId="2" applyFont="1" applyFill="1" applyBorder="1" applyAlignment="1" applyProtection="1">
      <alignment horizontal="center"/>
    </xf>
    <xf numFmtId="0" fontId="13" fillId="6" borderId="4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5" xfId="2" applyFont="1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8" fillId="9" borderId="2" xfId="0" quotePrefix="1" applyFont="1" applyFill="1" applyBorder="1" applyAlignment="1" applyProtection="1">
      <alignment wrapText="1"/>
    </xf>
    <xf numFmtId="0" fontId="8" fillId="9" borderId="6" xfId="0" quotePrefix="1" applyFont="1" applyFill="1" applyBorder="1" applyAlignment="1" applyProtection="1">
      <alignment wrapText="1"/>
    </xf>
    <xf numFmtId="0" fontId="8" fillId="9" borderId="3" xfId="0" quotePrefix="1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6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8" fillId="9" borderId="6" xfId="0" applyFont="1" applyFill="1" applyBorder="1" applyAlignment="1" applyProtection="1">
      <alignment wrapText="1"/>
    </xf>
    <xf numFmtId="0" fontId="8" fillId="9" borderId="3" xfId="0" applyFont="1" applyFill="1" applyBorder="1" applyAlignment="1" applyProtection="1">
      <alignment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6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8" fillId="9" borderId="6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/>
    <xf numFmtId="0" fontId="8" fillId="9" borderId="6" xfId="0" applyFont="1" applyFill="1" applyBorder="1" applyAlignment="1" applyProtection="1"/>
    <xf numFmtId="0" fontId="8" fillId="9" borderId="3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8" fillId="9" borderId="6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agsbehandling/&#216;R-status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1"/>
      <sheetName val="ØR20-23"/>
      <sheetName val="ØR19-22"/>
      <sheetName val="ØR18"/>
      <sheetName val="ØR17-20"/>
      <sheetName val="Nøgletal"/>
      <sheetName val="Ark2"/>
      <sheetName val="Ark3"/>
      <sheetName val="Ark1"/>
    </sheetNames>
    <sheetDataSet>
      <sheetData sheetId="0"/>
      <sheetData sheetId="1">
        <row r="1">
          <cell r="A1" t="str">
            <v>ØR 2020-2023 samt statusmeddelelser</v>
          </cell>
        </row>
      </sheetData>
      <sheetData sheetId="2">
        <row r="3">
          <cell r="A3" t="str">
            <v>S016</v>
          </cell>
        </row>
      </sheetData>
      <sheetData sheetId="3">
        <row r="1">
          <cell r="B1" t="str">
            <v>ØR 2018-2021 samt statusmeddelelser</v>
          </cell>
        </row>
      </sheetData>
      <sheetData sheetId="4">
        <row r="1">
          <cell r="A1" t="str">
            <v>AABBABAABBB[</v>
          </cell>
        </row>
      </sheetData>
      <sheetData sheetId="5">
        <row r="5">
          <cell r="C5">
            <v>1.0168999999999999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9" t="s">
        <v>4</v>
      </c>
      <c r="E6" s="69"/>
      <c r="F6" s="69"/>
      <c r="G6" s="69"/>
      <c r="H6" s="3"/>
      <c r="I6" s="1"/>
    </row>
    <row r="7" spans="1:9" ht="15" customHeight="1" x14ac:dyDescent="0.25">
      <c r="A7" s="1"/>
      <c r="B7" s="1"/>
      <c r="C7" s="3"/>
      <c r="D7" s="69"/>
      <c r="E7" s="69"/>
      <c r="F7" s="69"/>
      <c r="G7" s="69"/>
      <c r="H7" s="3"/>
      <c r="I7" s="1"/>
    </row>
    <row r="8" spans="1:9" ht="15.75" x14ac:dyDescent="0.25">
      <c r="A8" s="1"/>
      <c r="B8" s="1"/>
      <c r="C8" s="4"/>
      <c r="D8" s="71" t="s">
        <v>192</v>
      </c>
      <c r="E8" s="71"/>
      <c r="F8" s="71"/>
      <c r="G8" s="71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0" t="s">
        <v>5</v>
      </c>
      <c r="E11" s="70"/>
      <c r="F11" s="70"/>
      <c r="G11" s="70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6" t="s">
        <v>56</v>
      </c>
      <c r="E13" s="67"/>
      <c r="F13" s="67"/>
      <c r="G13" s="68"/>
      <c r="H13" s="1"/>
      <c r="I13" s="1"/>
    </row>
    <row r="14" spans="1:9" x14ac:dyDescent="0.25">
      <c r="A14" s="1"/>
      <c r="B14" s="1"/>
      <c r="C14" s="6" t="s">
        <v>22</v>
      </c>
      <c r="D14" s="66" t="s">
        <v>177</v>
      </c>
      <c r="E14" s="67"/>
      <c r="F14" s="67"/>
      <c r="G14" s="68"/>
      <c r="H14" s="1"/>
      <c r="I14" s="1"/>
    </row>
    <row r="15" spans="1:9" x14ac:dyDescent="0.25">
      <c r="A15" s="1"/>
      <c r="B15" s="1"/>
      <c r="C15" s="6" t="s">
        <v>55</v>
      </c>
      <c r="D15" s="66" t="s">
        <v>133</v>
      </c>
      <c r="E15" s="67"/>
      <c r="F15" s="67"/>
      <c r="G15" s="68"/>
      <c r="H15" s="1"/>
      <c r="I15" s="1"/>
    </row>
    <row r="16" spans="1:9" x14ac:dyDescent="0.25">
      <c r="A16" s="1"/>
      <c r="B16" s="1"/>
      <c r="C16" s="6" t="s">
        <v>57</v>
      </c>
      <c r="D16" s="66" t="s">
        <v>134</v>
      </c>
      <c r="E16" s="67"/>
      <c r="F16" s="67"/>
      <c r="G16" s="68"/>
      <c r="H16" s="1"/>
      <c r="I16" s="1"/>
    </row>
    <row r="17" spans="1:9" x14ac:dyDescent="0.25">
      <c r="A17" s="1"/>
      <c r="B17" s="1"/>
      <c r="C17" s="6" t="s">
        <v>224</v>
      </c>
      <c r="D17" s="66" t="s">
        <v>66</v>
      </c>
      <c r="E17" s="67"/>
      <c r="F17" s="67"/>
      <c r="G17" s="68"/>
      <c r="H17" s="1"/>
      <c r="I17" s="1"/>
    </row>
    <row r="18" spans="1:9" x14ac:dyDescent="0.25">
      <c r="A18" s="1"/>
      <c r="B18" s="1"/>
      <c r="C18" s="34" t="s">
        <v>196</v>
      </c>
      <c r="D18" s="72" t="s">
        <v>162</v>
      </c>
      <c r="E18" s="73"/>
      <c r="F18" s="73"/>
      <c r="G18" s="74"/>
      <c r="H18" s="1"/>
      <c r="I18" s="1"/>
    </row>
    <row r="19" spans="1:9" x14ac:dyDescent="0.25">
      <c r="A19" s="1"/>
      <c r="B19" s="1"/>
      <c r="C19" s="34" t="s">
        <v>197</v>
      </c>
      <c r="D19" s="72" t="s">
        <v>163</v>
      </c>
      <c r="E19" s="73"/>
      <c r="F19" s="73"/>
      <c r="G19" s="74"/>
      <c r="H19" s="1"/>
      <c r="I19" s="1"/>
    </row>
    <row r="20" spans="1:9" x14ac:dyDescent="0.25">
      <c r="A20" s="1"/>
      <c r="B20" s="1"/>
      <c r="C20" s="34" t="s">
        <v>7</v>
      </c>
      <c r="D20" s="72" t="s">
        <v>10</v>
      </c>
      <c r="E20" s="73"/>
      <c r="F20" s="73"/>
      <c r="G20" s="74"/>
      <c r="H20" s="1"/>
      <c r="I20" s="1"/>
    </row>
    <row r="21" spans="1:9" x14ac:dyDescent="0.25">
      <c r="A21" s="1"/>
      <c r="B21" s="1"/>
      <c r="C21" s="6" t="s">
        <v>198</v>
      </c>
      <c r="D21" s="63" t="s">
        <v>17</v>
      </c>
      <c r="E21" s="64"/>
      <c r="F21" s="64"/>
      <c r="G21" s="65"/>
      <c r="H21" s="1"/>
      <c r="I21" s="1"/>
    </row>
    <row r="22" spans="1:9" x14ac:dyDescent="0.25">
      <c r="A22" s="1"/>
      <c r="B22" s="1"/>
      <c r="C22" s="6" t="s">
        <v>140</v>
      </c>
      <c r="D22" s="57" t="s">
        <v>161</v>
      </c>
      <c r="E22" s="58"/>
      <c r="F22" s="58"/>
      <c r="G22" s="59"/>
      <c r="H22" s="1"/>
      <c r="I22" s="1"/>
    </row>
    <row r="23" spans="1:9" x14ac:dyDescent="0.25">
      <c r="A23" s="1"/>
      <c r="B23" s="1"/>
      <c r="C23" s="6" t="s">
        <v>8</v>
      </c>
      <c r="D23" s="57" t="s">
        <v>225</v>
      </c>
      <c r="E23" s="58"/>
      <c r="F23" s="58"/>
      <c r="G23" s="59"/>
      <c r="H23" s="1"/>
      <c r="I23" s="1"/>
    </row>
    <row r="24" spans="1:9" x14ac:dyDescent="0.25">
      <c r="A24" s="1"/>
      <c r="B24" s="1"/>
      <c r="C24" s="6" t="s">
        <v>9</v>
      </c>
      <c r="D24" s="57" t="s">
        <v>58</v>
      </c>
      <c r="E24" s="58"/>
      <c r="F24" s="58"/>
      <c r="G24" s="59"/>
      <c r="H24" s="1"/>
      <c r="I24" s="1"/>
    </row>
    <row r="25" spans="1:9" x14ac:dyDescent="0.25">
      <c r="A25" s="1"/>
      <c r="B25" s="1"/>
      <c r="C25" s="6" t="s">
        <v>199</v>
      </c>
      <c r="D25" s="57" t="s">
        <v>141</v>
      </c>
      <c r="E25" s="58"/>
      <c r="F25" s="58"/>
      <c r="G25" s="59"/>
      <c r="H25" s="1"/>
      <c r="I25" s="1"/>
    </row>
    <row r="26" spans="1:9" x14ac:dyDescent="0.25">
      <c r="A26" s="1"/>
      <c r="B26" s="1"/>
      <c r="C26" s="6" t="s">
        <v>200</v>
      </c>
      <c r="D26" s="57" t="s">
        <v>142</v>
      </c>
      <c r="E26" s="58"/>
      <c r="F26" s="58"/>
      <c r="G26" s="59"/>
      <c r="H26" s="1"/>
      <c r="I26" s="1"/>
    </row>
    <row r="27" spans="1:9" x14ac:dyDescent="0.25">
      <c r="A27" s="1"/>
      <c r="B27" s="1"/>
      <c r="C27" s="6" t="s">
        <v>201</v>
      </c>
      <c r="D27" s="57" t="s">
        <v>59</v>
      </c>
      <c r="E27" s="58"/>
      <c r="F27" s="58"/>
      <c r="G27" s="59"/>
      <c r="H27" s="1"/>
      <c r="I27" s="1"/>
    </row>
    <row r="28" spans="1:9" x14ac:dyDescent="0.25">
      <c r="A28" s="1"/>
      <c r="B28" s="1"/>
      <c r="C28" s="6" t="s">
        <v>183</v>
      </c>
      <c r="D28" s="57" t="s">
        <v>60</v>
      </c>
      <c r="E28" s="58"/>
      <c r="F28" s="58"/>
      <c r="G28" s="59"/>
      <c r="H28" s="1"/>
      <c r="I28" s="1"/>
    </row>
    <row r="29" spans="1:9" x14ac:dyDescent="0.25">
      <c r="A29" s="1"/>
      <c r="B29" s="1"/>
      <c r="C29" s="6" t="s">
        <v>61</v>
      </c>
      <c r="D29" s="54" t="s">
        <v>11</v>
      </c>
      <c r="E29" s="55"/>
      <c r="F29" s="55"/>
      <c r="G29" s="56"/>
      <c r="H29" s="1"/>
      <c r="I29" s="1"/>
    </row>
    <row r="30" spans="1:9" x14ac:dyDescent="0.25">
      <c r="A30" s="1"/>
      <c r="B30" s="1"/>
      <c r="C30" s="6" t="s">
        <v>62</v>
      </c>
      <c r="D30" s="60" t="s">
        <v>184</v>
      </c>
      <c r="E30" s="61"/>
      <c r="F30" s="61"/>
      <c r="G30" s="62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nAHHgd3dOBEhmCWYrQbJ0VCNUlcN6SztzWe1iIGyc/EaAEQvLhURzUKr9DjwNqhz95Lieln7Jywgt70P46cjow==" saltValue="CS1qutFuoIQ76WVZbucDvA==" spinCount="100000" sheet="1" objects="1" scenarios="1"/>
  <mergeCells count="21">
    <mergeCell ref="D14:G14"/>
    <mergeCell ref="D6:G7"/>
    <mergeCell ref="D22:G22"/>
    <mergeCell ref="D11:G11"/>
    <mergeCell ref="D8:G8"/>
    <mergeCell ref="D15:G15"/>
    <mergeCell ref="D16:G16"/>
    <mergeCell ref="D13:G13"/>
    <mergeCell ref="D17:G17"/>
    <mergeCell ref="D18:G18"/>
    <mergeCell ref="D19:G19"/>
    <mergeCell ref="D20:G20"/>
    <mergeCell ref="D29:G29"/>
    <mergeCell ref="D28:G28"/>
    <mergeCell ref="D30:G30"/>
    <mergeCell ref="D21:G21"/>
    <mergeCell ref="D24:G24"/>
    <mergeCell ref="D25:G25"/>
    <mergeCell ref="D27:G27"/>
    <mergeCell ref="D26:G26"/>
    <mergeCell ref="D23:G23"/>
  </mergeCells>
  <hyperlinks>
    <hyperlink ref="D14:G14" location="'Fane 2.2. Økonomisk ramme 2021'!A1" display="Samlet økonomisk ramme for 2021"/>
    <hyperlink ref="D25:G25" location="'Fane 10.1. Varige tillæg'!A1" display="Varige tillæg"/>
    <hyperlink ref="D27:G27" location="'Fane 11. Tilknyttet aktivitet'!A1" display="Tilknyttet aktivitet"/>
    <hyperlink ref="D28:G28" location="'Fane 12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21:G21" location="'Fane 6. Ikke-påvirkelige omk.'!A1" display="Ikke-påvirkelige omkostninger"/>
    <hyperlink ref="D22:G22" location="'Fane 7. Kontrol af ØR2018'!A1" display="Kontrol af den økonomiske ramme for 2018"/>
    <hyperlink ref="D24:G24" location="'Fane 9. Anlægsprojekter'!A1" display="Anlægsprojekter"/>
    <hyperlink ref="D30:G30" location="'Fane 14. Nøgletal'!A1" display="Nøgletal"/>
    <hyperlink ref="D17:G17" location="'Fane 3. Omkostninger i ØR2019'!A1" display="Omkostninger i ØR2019"/>
    <hyperlink ref="D26:G26" location="'Fane 10.2. Engangstillæg'!A1" display="Engangstillæg"/>
    <hyperlink ref="D19:G19" location="'Fane 4.2. Gen. krav - anlæg'!A1" display="Generelt effektiviseringskrav på anlæg"/>
    <hyperlink ref="D18:G18" location="'Fane 4.1. Gen. krav - drift'!A1" display="Generelt effektiviseringskrav på drift"/>
    <hyperlink ref="D20:G20" location="'Fane 5. Individuelt eff. krav'!A1" display="Individuelt effektiviseringskrav"/>
    <hyperlink ref="D29:G29" location="'Fane 13. Hist. over-underdæk.'!A1" display="Historisk over- eller underdækning"/>
    <hyperlink ref="D23" location="'Fane 8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49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75" t="s">
        <v>204</v>
      </c>
      <c r="C3" s="75"/>
      <c r="D3" s="75"/>
      <c r="E3" s="1"/>
      <c r="F3" s="1"/>
    </row>
    <row r="4" spans="1:6" ht="15" customHeight="1" x14ac:dyDescent="0.25">
      <c r="A4" s="1"/>
      <c r="B4" s="75"/>
      <c r="C4" s="75"/>
      <c r="D4" s="75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98" t="s">
        <v>69</v>
      </c>
      <c r="C8" s="99"/>
      <c r="D8" s="100"/>
      <c r="E8" s="1"/>
      <c r="F8" s="1"/>
    </row>
    <row r="9" spans="1:6" ht="15" customHeight="1" x14ac:dyDescent="0.25">
      <c r="A9" s="1"/>
      <c r="B9" s="42" t="s">
        <v>48</v>
      </c>
      <c r="C9" s="11" t="s">
        <v>70</v>
      </c>
      <c r="D9" s="11"/>
      <c r="E9" s="1"/>
      <c r="F9" s="1"/>
    </row>
    <row r="10" spans="1:6" x14ac:dyDescent="0.25">
      <c r="A10" s="1"/>
      <c r="B10" s="51" t="s">
        <v>234</v>
      </c>
      <c r="C10" s="9">
        <v>29059940</v>
      </c>
      <c r="D10" s="14" t="s">
        <v>3</v>
      </c>
      <c r="E10" s="1"/>
      <c r="F10" s="1"/>
    </row>
    <row r="11" spans="1:6" x14ac:dyDescent="0.25">
      <c r="A11" s="1"/>
      <c r="B11" s="51" t="s">
        <v>235</v>
      </c>
      <c r="C11" s="9">
        <v>79947</v>
      </c>
      <c r="D11" s="14" t="s">
        <v>3</v>
      </c>
      <c r="E11" s="1"/>
      <c r="F11" s="1"/>
    </row>
    <row r="12" spans="1:6" ht="26.25" x14ac:dyDescent="0.25">
      <c r="A12" s="1"/>
      <c r="B12" s="48" t="s">
        <v>236</v>
      </c>
      <c r="C12" s="9">
        <v>771387</v>
      </c>
      <c r="D12" s="14" t="s">
        <v>3</v>
      </c>
      <c r="E12" s="1"/>
      <c r="F12" s="1"/>
    </row>
    <row r="13" spans="1:6" x14ac:dyDescent="0.25">
      <c r="A13" s="1"/>
      <c r="B13" s="51" t="s">
        <v>237</v>
      </c>
      <c r="C13" s="9">
        <v>165869</v>
      </c>
      <c r="D13" s="14" t="s">
        <v>3</v>
      </c>
      <c r="E13" s="1"/>
      <c r="F13" s="1"/>
    </row>
    <row r="14" spans="1:6" x14ac:dyDescent="0.25">
      <c r="A14" s="1"/>
      <c r="B14" s="49" t="s">
        <v>71</v>
      </c>
      <c r="C14" s="12">
        <f>SUM(C10:C13)</f>
        <v>30077143</v>
      </c>
      <c r="D14" s="13" t="s">
        <v>3</v>
      </c>
      <c r="E14" s="1"/>
      <c r="F14" s="1"/>
    </row>
    <row r="15" spans="1:6" x14ac:dyDescent="0.25">
      <c r="A15" s="1"/>
      <c r="B15" s="49" t="s">
        <v>72</v>
      </c>
      <c r="C15" s="12">
        <f>C14*(1+'Fane 14. Nøgletal'!C12)^2</f>
        <v>31273855.07262687</v>
      </c>
      <c r="D15" s="13" t="s">
        <v>3</v>
      </c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</sheetData>
  <sheetProtection algorithmName="SHA-512" hashValue="2EIzQM0xuCX7+lgRhoz6d7yAvaIKVtdKPqW6F6xsIyFQeDA3ToR6XR2RcuXZCbkDEhx+XWtRe2xMYWYC/LBwNQ==" saltValue="NCp7QhkhkwsrMMxNm6qCVw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85" t="s">
        <v>205</v>
      </c>
      <c r="C3" s="85"/>
      <c r="D3" s="85"/>
      <c r="E3" s="85"/>
      <c r="F3" s="85"/>
      <c r="G3" s="1"/>
    </row>
    <row r="4" spans="1:7" ht="15" customHeight="1" x14ac:dyDescent="0.25">
      <c r="A4" s="1"/>
      <c r="B4" s="85"/>
      <c r="C4" s="85"/>
      <c r="D4" s="85"/>
      <c r="E4" s="85"/>
      <c r="F4" s="85"/>
      <c r="G4" s="1"/>
    </row>
    <row r="5" spans="1:7" ht="15" customHeight="1" x14ac:dyDescent="0.25">
      <c r="A5" s="1"/>
      <c r="B5" s="47"/>
      <c r="C5" s="47"/>
      <c r="D5" s="47"/>
      <c r="E5" s="47"/>
      <c r="F5" s="47"/>
      <c r="G5" s="1"/>
    </row>
    <row r="6" spans="1:7" ht="15" customHeight="1" x14ac:dyDescent="0.25">
      <c r="A6" s="1"/>
      <c r="B6" s="98" t="s">
        <v>52</v>
      </c>
      <c r="C6" s="99"/>
      <c r="D6" s="99"/>
      <c r="E6" s="99"/>
      <c r="F6" s="100"/>
      <c r="G6" s="1"/>
    </row>
    <row r="7" spans="1:7" ht="15" customHeight="1" x14ac:dyDescent="0.25">
      <c r="A7" s="1"/>
      <c r="B7" s="101" t="s">
        <v>50</v>
      </c>
      <c r="C7" s="102"/>
      <c r="D7" s="103"/>
      <c r="E7" s="9">
        <v>-3865340.6239333334</v>
      </c>
      <c r="F7" s="14" t="s">
        <v>3</v>
      </c>
      <c r="G7" s="1"/>
    </row>
    <row r="8" spans="1:7" ht="15" customHeight="1" x14ac:dyDescent="0.25">
      <c r="A8" s="1"/>
      <c r="B8" s="101" t="s">
        <v>51</v>
      </c>
      <c r="C8" s="102"/>
      <c r="D8" s="103"/>
      <c r="E8" s="9">
        <v>10773740.741969064</v>
      </c>
      <c r="F8" s="14" t="s">
        <v>3</v>
      </c>
      <c r="G8" s="1"/>
    </row>
    <row r="9" spans="1:7" ht="15" customHeight="1" x14ac:dyDescent="0.25">
      <c r="A9" s="1"/>
      <c r="B9" s="109" t="s">
        <v>186</v>
      </c>
      <c r="C9" s="110"/>
      <c r="D9" s="111"/>
      <c r="E9" s="10">
        <f>SUM(E7:E8)</f>
        <v>6908400.11803573</v>
      </c>
      <c r="F9" s="17" t="s">
        <v>3</v>
      </c>
      <c r="G9" s="1"/>
    </row>
    <row r="10" spans="1:7" ht="15" customHeight="1" x14ac:dyDescent="0.25">
      <c r="A10" s="1"/>
      <c r="B10" s="49"/>
      <c r="C10" s="50"/>
      <c r="D10" s="50"/>
      <c r="E10" s="50"/>
      <c r="F10" s="22"/>
      <c r="G10" s="1"/>
    </row>
    <row r="11" spans="1:7" ht="28.5" customHeight="1" x14ac:dyDescent="0.25">
      <c r="A11" s="1"/>
      <c r="B11" s="89" t="s">
        <v>188</v>
      </c>
      <c r="C11" s="90"/>
      <c r="D11" s="90"/>
      <c r="E11" s="90"/>
      <c r="F11" s="9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8" t="s">
        <v>165</v>
      </c>
      <c r="C14" s="99"/>
      <c r="D14" s="99"/>
      <c r="E14" s="99"/>
      <c r="F14" s="100"/>
      <c r="G14" s="1"/>
    </row>
    <row r="15" spans="1:7" x14ac:dyDescent="0.25">
      <c r="A15" s="1"/>
      <c r="B15" s="101" t="s">
        <v>166</v>
      </c>
      <c r="C15" s="102"/>
      <c r="D15" s="103"/>
      <c r="E15" s="9">
        <v>93786573.061570168</v>
      </c>
      <c r="F15" s="14" t="s">
        <v>3</v>
      </c>
      <c r="G15" s="1"/>
    </row>
    <row r="16" spans="1:7" x14ac:dyDescent="0.25">
      <c r="A16" s="1"/>
      <c r="B16" s="101" t="s">
        <v>167</v>
      </c>
      <c r="C16" s="102"/>
      <c r="D16" s="103"/>
      <c r="E16" s="9">
        <v>86561610</v>
      </c>
      <c r="F16" s="14" t="s">
        <v>3</v>
      </c>
      <c r="G16" s="1"/>
    </row>
    <row r="17" spans="1:7" x14ac:dyDescent="0.25">
      <c r="A17" s="1"/>
      <c r="B17" s="101" t="s">
        <v>49</v>
      </c>
      <c r="C17" s="102"/>
      <c r="D17" s="103"/>
      <c r="E17" s="9">
        <v>0</v>
      </c>
      <c r="F17" s="14" t="s">
        <v>3</v>
      </c>
      <c r="G17" s="1"/>
    </row>
    <row r="18" spans="1:7" x14ac:dyDescent="0.25">
      <c r="A18" s="1"/>
      <c r="B18" s="109" t="s">
        <v>187</v>
      </c>
      <c r="C18" s="110"/>
      <c r="D18" s="111"/>
      <c r="E18" s="10">
        <f>E15-(E16-E17)</f>
        <v>7224963.0615701675</v>
      </c>
      <c r="F18" s="17" t="s">
        <v>3</v>
      </c>
      <c r="G18" s="1"/>
    </row>
    <row r="19" spans="1:7" x14ac:dyDescent="0.25">
      <c r="A19" s="1"/>
      <c r="B19" s="49"/>
      <c r="C19" s="50"/>
      <c r="D19" s="50"/>
      <c r="E19" s="50"/>
      <c r="F19" s="22"/>
      <c r="G19" s="1"/>
    </row>
    <row r="20" spans="1:7" ht="30" customHeight="1" x14ac:dyDescent="0.25">
      <c r="A20" s="1"/>
      <c r="B20" s="89" t="s">
        <v>189</v>
      </c>
      <c r="C20" s="90"/>
      <c r="D20" s="90"/>
      <c r="E20" s="90"/>
      <c r="F20" s="9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98" t="s">
        <v>77</v>
      </c>
      <c r="C23" s="99"/>
      <c r="D23" s="99"/>
      <c r="E23" s="99"/>
      <c r="F23" s="100"/>
      <c r="G23" s="1"/>
    </row>
    <row r="24" spans="1:7" x14ac:dyDescent="0.25">
      <c r="A24" s="1"/>
      <c r="B24" s="101" t="s">
        <v>78</v>
      </c>
      <c r="C24" s="102"/>
      <c r="D24" s="103"/>
      <c r="E24" s="9">
        <v>90250898.832919955</v>
      </c>
      <c r="F24" s="14" t="s">
        <v>3</v>
      </c>
      <c r="G24" s="1"/>
    </row>
    <row r="25" spans="1:7" x14ac:dyDescent="0.25">
      <c r="A25" s="1"/>
      <c r="B25" s="101" t="s">
        <v>79</v>
      </c>
      <c r="C25" s="102"/>
      <c r="D25" s="103"/>
      <c r="E25" s="9">
        <v>91579824</v>
      </c>
      <c r="F25" s="14" t="s">
        <v>3</v>
      </c>
      <c r="G25" s="1"/>
    </row>
    <row r="26" spans="1:7" x14ac:dyDescent="0.25">
      <c r="A26" s="1"/>
      <c r="B26" s="101" t="s">
        <v>49</v>
      </c>
      <c r="C26" s="102"/>
      <c r="D26" s="103"/>
      <c r="E26" s="9">
        <v>0</v>
      </c>
      <c r="F26" s="14" t="s">
        <v>3</v>
      </c>
      <c r="G26" s="1"/>
    </row>
    <row r="27" spans="1:7" x14ac:dyDescent="0.25">
      <c r="A27" s="1"/>
      <c r="B27" s="109" t="s">
        <v>187</v>
      </c>
      <c r="C27" s="110"/>
      <c r="D27" s="111"/>
      <c r="E27" s="10">
        <f>E24-(E25-E26)</f>
        <v>-1328925.1670800447</v>
      </c>
      <c r="F27" s="17" t="s">
        <v>3</v>
      </c>
      <c r="G27" s="1"/>
    </row>
    <row r="28" spans="1:7" x14ac:dyDescent="0.25">
      <c r="A28" s="1"/>
      <c r="B28" s="49"/>
      <c r="C28" s="50"/>
      <c r="D28" s="50"/>
      <c r="E28" s="50"/>
      <c r="F28" s="22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98" t="s">
        <v>246</v>
      </c>
      <c r="C31" s="99"/>
      <c r="D31" s="99"/>
      <c r="E31" s="99"/>
      <c r="F31" s="100"/>
      <c r="G31" s="1"/>
    </row>
    <row r="32" spans="1:7" x14ac:dyDescent="0.25">
      <c r="A32" s="1"/>
      <c r="B32" s="109" t="s">
        <v>247</v>
      </c>
      <c r="C32" s="110"/>
      <c r="D32" s="111"/>
      <c r="E32" s="10">
        <f>IF(AND(E9&gt;0,E18&gt;0),E9/2,IF(AND(E9&gt;0,E18&lt;0,ABS(E9)&gt;ABS(E18)),(E9+E18)/2,IF(AND(E9&lt;0,E18&gt;0,ABS(E9)&gt;ABS(E18)),(E9+E18)/2,IF(AND(E9&gt;0,E18&lt;0,ABS(E9)&lt;ABS(E18)),(E9+E18)/2+IF(E27+E9+E18&gt;0,E27-(E27+E9+E18),IF(E27+E9+E18=0,E27,IF(AND(E27&gt;0,E27+E9+E18&lt;0),E27,0))),IF(AND(E9&lt;0,E18&lt;0),(E9+E18)/2+IF(E27+E9+E18&gt;0,E27-(E27+E9+E18),IF(E27+E9+E18=0,E27,IF(AND(E27&gt;0,E27+E9+E18&lt;0),E27,0))),0)))))</f>
        <v>3454200.059017865</v>
      </c>
      <c r="F32" s="17" t="s">
        <v>3</v>
      </c>
      <c r="G32" s="1"/>
    </row>
    <row r="33" spans="1:7" x14ac:dyDescent="0.25">
      <c r="A33" s="1"/>
      <c r="B33" s="98"/>
      <c r="C33" s="99"/>
      <c r="D33" s="99"/>
      <c r="E33" s="99"/>
      <c r="F33" s="100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98" t="s">
        <v>180</v>
      </c>
      <c r="C36" s="99"/>
      <c r="D36" s="99"/>
      <c r="E36" s="99"/>
      <c r="F36" s="100"/>
      <c r="G36" s="1"/>
    </row>
    <row r="37" spans="1:7" x14ac:dyDescent="0.25">
      <c r="A37" s="1"/>
      <c r="B37" s="112" t="s">
        <v>53</v>
      </c>
      <c r="C37" s="113"/>
      <c r="D37" s="114"/>
      <c r="E37" s="9">
        <f>IF(AND(E9&gt;0,E18&gt;0),IF(E18+E27&gt;=0,0,IF(E18+E27&lt;0,E18+E27,0)),IF(AND(E9&lt;0,E18&gt;0,ABS(E9)&lt;ABS(E18)),IF(E9+E18+E27&gt;=0,0,IF(E9+E18+E27&lt;0,E9+E18+E27,0)),IF(E27&gt;=0,0,E27)))</f>
        <v>0</v>
      </c>
      <c r="F37" s="14" t="s">
        <v>3</v>
      </c>
      <c r="G37" s="1"/>
    </row>
    <row r="38" spans="1:7" x14ac:dyDescent="0.25">
      <c r="A38" s="1"/>
      <c r="B38" s="112" t="s">
        <v>185</v>
      </c>
      <c r="C38" s="113"/>
      <c r="D38" s="114"/>
      <c r="E38" s="9">
        <v>2</v>
      </c>
      <c r="F38" s="14" t="s">
        <v>27</v>
      </c>
      <c r="G38" s="1"/>
    </row>
    <row r="39" spans="1:7" ht="15" customHeight="1" x14ac:dyDescent="0.25">
      <c r="A39" s="1"/>
      <c r="B39" s="109" t="s">
        <v>227</v>
      </c>
      <c r="C39" s="110"/>
      <c r="D39" s="111"/>
      <c r="E39" s="10">
        <f>E37/E38</f>
        <v>0</v>
      </c>
      <c r="F39" s="17" t="s">
        <v>3</v>
      </c>
      <c r="G39" s="1"/>
    </row>
    <row r="40" spans="1:7" x14ac:dyDescent="0.25">
      <c r="A40" s="1"/>
      <c r="B40" s="98"/>
      <c r="C40" s="99"/>
      <c r="D40" s="99"/>
      <c r="E40" s="99"/>
      <c r="F40" s="100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INnikvMk3jUPWgt0rCj9MC2jXpFXmEE4+zIE9RaH5Z5yGTnFSBPYMRkCSiPYBO2ZOW8NuH1i0I/PB1N3RyClNg==" saltValue="q/U/85/qRvr22O/xoMh9MQ==" spinCount="100000" sheet="1" objects="1" scenarios="1"/>
  <mergeCells count="25">
    <mergeCell ref="B3:F4"/>
    <mergeCell ref="B23:F23"/>
    <mergeCell ref="B24:D24"/>
    <mergeCell ref="B25:D25"/>
    <mergeCell ref="B26:D26"/>
    <mergeCell ref="B17:D17"/>
    <mergeCell ref="B18:D18"/>
    <mergeCell ref="B6:F6"/>
    <mergeCell ref="B7:D7"/>
    <mergeCell ref="B8:D8"/>
    <mergeCell ref="B9:D9"/>
    <mergeCell ref="B40:F40"/>
    <mergeCell ref="B14:F14"/>
    <mergeCell ref="B15:D15"/>
    <mergeCell ref="B16:D16"/>
    <mergeCell ref="B11:F11"/>
    <mergeCell ref="B20:F20"/>
    <mergeCell ref="B31:F31"/>
    <mergeCell ref="B32:D32"/>
    <mergeCell ref="B33:F33"/>
    <mergeCell ref="B27:D27"/>
    <mergeCell ref="B36:F36"/>
    <mergeCell ref="B37:D37"/>
    <mergeCell ref="B38:D38"/>
    <mergeCell ref="B39:D39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140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85" t="s">
        <v>228</v>
      </c>
      <c r="C3" s="85"/>
      <c r="D3" s="85"/>
      <c r="E3" s="85"/>
      <c r="F3" s="85"/>
      <c r="G3" s="1"/>
    </row>
    <row r="4" spans="1:7" ht="15" customHeight="1" x14ac:dyDescent="0.25">
      <c r="A4" s="1"/>
      <c r="B4" s="85"/>
      <c r="C4" s="85"/>
      <c r="D4" s="85"/>
      <c r="E4" s="85"/>
      <c r="F4" s="8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8" t="s">
        <v>159</v>
      </c>
      <c r="C8" s="99"/>
      <c r="D8" s="99"/>
      <c r="E8" s="99"/>
      <c r="F8" s="99"/>
      <c r="G8" s="1"/>
    </row>
    <row r="9" spans="1:7" ht="29.25" customHeight="1" x14ac:dyDescent="0.25">
      <c r="A9" s="1"/>
      <c r="B9" s="95" t="s">
        <v>164</v>
      </c>
      <c r="C9" s="96"/>
      <c r="D9" s="97"/>
      <c r="E9" s="10">
        <f>IF((('Fane 3. Omkostninger i ØR2019'!E26+'Fane 3. Omkostninger i ØR2019'!E30)-('Fane 3. Omkostninger i ØR2019'!E26+'Fane 3. Omkostninger i ØR2019'!E30)/(1+'Fane 14. Nøgletal'!C11)^2)+IF('Fane 7. Kontrol af ØR2018'!E9*(1+'Fane 14. Nøgletal'!C10)&gt;0,(('Fane 7. Kontrol af ØR2018'!E9*(1+'Fane 14. Nøgletal'!C10)-'Fane 7. Kontrol af ØR2018'!E9*(1+'Fane 14. Nøgletal'!C10)/(1+'Fane 14. Nøgletal'!C10))/2),0)&lt;0,-((('Fane 3. Omkostninger i ØR2019'!E26+'Fane 3. Omkostninger i ØR2019'!E30)-('Fane 3. Omkostninger i ØR2019'!E26+'Fane 3. Omkostninger i ØR2019'!E30)/(1+'Fane 14. Nøgletal'!C11)^2)+('Fane 7. Kontrol af ØR2018'!E9*(1+'Fane 14. Nøgletal'!C10)-'Fane 7. Kontrol af ØR2018'!E9*(1+'Fane 14. Nøgletal'!C10)/(1+'Fane 14. Nøgletal'!C10))/2),0)</f>
        <v>0</v>
      </c>
      <c r="F9" s="11" t="s">
        <v>3</v>
      </c>
      <c r="G9" s="1"/>
    </row>
    <row r="10" spans="1:7" x14ac:dyDescent="0.25">
      <c r="A10" s="1"/>
      <c r="B10" s="49" t="s">
        <v>175</v>
      </c>
      <c r="C10" s="50"/>
      <c r="D10" s="50"/>
      <c r="E10" s="12">
        <f>E9</f>
        <v>0</v>
      </c>
      <c r="F10" s="13" t="s">
        <v>3</v>
      </c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/2riWOgPBRgnZfqh3fb5SxZMezdxO1/+eyQBtgPCc/Go3/ukswpaNpRcAZguJjTBrmVCBnhjCH9vemn4Ye5v6w==" saltValue="3mmC0hyNEKF8VnWNVl0B0g==" spinCount="100000" sheet="1" objects="1" scenarios="1"/>
  <mergeCells count="3">
    <mergeCell ref="B8:F8"/>
    <mergeCell ref="B9:D9"/>
    <mergeCell ref="B3:F4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7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5" t="s">
        <v>229</v>
      </c>
      <c r="C3" s="75"/>
      <c r="D3" s="75"/>
      <c r="E3" s="75"/>
      <c r="F3" s="75"/>
      <c r="G3" s="75"/>
      <c r="H3" s="75"/>
      <c r="I3" s="1"/>
    </row>
    <row r="4" spans="1:9" ht="15" customHeight="1" x14ac:dyDescent="0.25">
      <c r="A4" s="1"/>
      <c r="B4" s="75"/>
      <c r="C4" s="75"/>
      <c r="D4" s="75"/>
      <c r="E4" s="75"/>
      <c r="F4" s="75"/>
      <c r="G4" s="75"/>
      <c r="H4" s="75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8" t="s">
        <v>230</v>
      </c>
      <c r="C8" s="99"/>
      <c r="D8" s="99"/>
      <c r="E8" s="99"/>
      <c r="F8" s="99"/>
      <c r="G8" s="99"/>
      <c r="H8" s="100"/>
      <c r="I8" s="1"/>
    </row>
    <row r="9" spans="1:9" ht="39.75" customHeight="1" x14ac:dyDescent="0.25">
      <c r="A9" s="1"/>
      <c r="B9" s="21" t="s">
        <v>0</v>
      </c>
      <c r="C9" s="21" t="s">
        <v>1</v>
      </c>
      <c r="D9" s="21" t="s">
        <v>14</v>
      </c>
      <c r="E9" s="11" t="s">
        <v>2</v>
      </c>
      <c r="F9" s="11" t="s">
        <v>16</v>
      </c>
      <c r="G9" s="11" t="s">
        <v>46</v>
      </c>
      <c r="H9" s="44"/>
      <c r="I9" s="1"/>
    </row>
    <row r="10" spans="1:9" ht="26.25" x14ac:dyDescent="0.25">
      <c r="A10" s="1"/>
      <c r="B10" s="38" t="s">
        <v>243</v>
      </c>
      <c r="C10" s="39">
        <v>10</v>
      </c>
      <c r="D10" s="9">
        <v>192300</v>
      </c>
      <c r="E10" s="9">
        <f>IFERROR(D10/C10,0)</f>
        <v>19230</v>
      </c>
      <c r="F10" s="9">
        <v>0</v>
      </c>
      <c r="G10" s="9">
        <v>0</v>
      </c>
      <c r="H10" s="14" t="s">
        <v>3</v>
      </c>
      <c r="I10" s="1"/>
    </row>
    <row r="11" spans="1:9" ht="26.25" x14ac:dyDescent="0.25">
      <c r="A11" s="1"/>
      <c r="B11" s="38" t="s">
        <v>244</v>
      </c>
      <c r="C11" s="39">
        <v>75</v>
      </c>
      <c r="D11" s="9">
        <v>1596398</v>
      </c>
      <c r="E11" s="9">
        <f t="shared" ref="E11" si="0">IFERROR(D11/C11,0)</f>
        <v>21285.306666666667</v>
      </c>
      <c r="F11" s="9">
        <v>0</v>
      </c>
      <c r="G11" s="9">
        <v>0</v>
      </c>
      <c r="H11" s="14" t="s">
        <v>3</v>
      </c>
      <c r="I11" s="1"/>
    </row>
    <row r="12" spans="1:9" x14ac:dyDescent="0.25">
      <c r="A12" s="1"/>
      <c r="B12" s="98" t="s">
        <v>231</v>
      </c>
      <c r="C12" s="99"/>
      <c r="D12" s="100"/>
      <c r="E12" s="12">
        <f>SUM(E10:E11)</f>
        <v>40515.306666666671</v>
      </c>
      <c r="F12" s="12">
        <f>SUM(F10:F11)</f>
        <v>0</v>
      </c>
      <c r="G12" s="12">
        <f>SUM(G10:G11)</f>
        <v>0</v>
      </c>
      <c r="H12" s="13" t="s">
        <v>3</v>
      </c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algorithmName="SHA-512" hashValue="5Ir97SNdObJRAL60vWXf6h/DMNaCHt2/sBok6awuh+ctaOnuxRdVchtF427n0uSL2+OpBy0fNPOWROR6QtB+xA==" saltValue="l39x8dRsWRHFYWgsTsQ6gQ==" spinCount="100000" sheet="1" objects="1" scenarios="1"/>
  <mergeCells count="3">
    <mergeCell ref="B3:H4"/>
    <mergeCell ref="B12:D12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3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5" t="s">
        <v>206</v>
      </c>
      <c r="C3" s="75"/>
      <c r="D3" s="75"/>
      <c r="E3" s="75"/>
      <c r="F3" s="75"/>
      <c r="G3" s="1"/>
    </row>
    <row r="4" spans="1:7" ht="15" customHeight="1" x14ac:dyDescent="0.25">
      <c r="A4" s="1"/>
      <c r="B4" s="75"/>
      <c r="C4" s="75"/>
      <c r="D4" s="75"/>
      <c r="E4" s="75"/>
      <c r="F4" s="7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9" t="s">
        <v>137</v>
      </c>
      <c r="C8" s="50"/>
      <c r="D8" s="50"/>
      <c r="E8" s="50"/>
      <c r="F8" s="22"/>
      <c r="G8" s="1"/>
    </row>
    <row r="9" spans="1:7" ht="17.25" customHeight="1" x14ac:dyDescent="0.25">
      <c r="A9" s="1"/>
      <c r="B9" s="45" t="s">
        <v>24</v>
      </c>
      <c r="C9" s="45" t="s">
        <v>16</v>
      </c>
      <c r="D9" s="46"/>
      <c r="E9" s="45" t="s">
        <v>47</v>
      </c>
      <c r="F9" s="44"/>
      <c r="G9" s="1"/>
    </row>
    <row r="10" spans="1:7" x14ac:dyDescent="0.25">
      <c r="A10" s="1"/>
      <c r="B10" s="27" t="s">
        <v>245</v>
      </c>
      <c r="C10" s="24">
        <f>'Fane 9. Anlægsprojekter'!F12</f>
        <v>0</v>
      </c>
      <c r="D10" s="14" t="s">
        <v>3</v>
      </c>
      <c r="E10" s="9">
        <f>SUM('Fane 9. Anlægsprojekter'!E12,'Fane 9. Anlægsprojekter'!G12)</f>
        <v>40515.306666666671</v>
      </c>
      <c r="F10" s="14" t="s">
        <v>3</v>
      </c>
      <c r="G10" s="1"/>
    </row>
    <row r="11" spans="1:7" x14ac:dyDescent="0.25">
      <c r="A11" s="1"/>
      <c r="B11" s="40" t="s">
        <v>238</v>
      </c>
      <c r="C11" s="24">
        <v>1221126</v>
      </c>
      <c r="D11" s="14" t="s">
        <v>3</v>
      </c>
      <c r="E11" s="9">
        <v>226714</v>
      </c>
      <c r="F11" s="14" t="s">
        <v>3</v>
      </c>
      <c r="G11" s="1"/>
    </row>
    <row r="12" spans="1:7" x14ac:dyDescent="0.25">
      <c r="A12" s="1"/>
      <c r="B12" s="40" t="s">
        <v>239</v>
      </c>
      <c r="C12" s="24">
        <v>150525</v>
      </c>
      <c r="D12" s="14" t="s">
        <v>3</v>
      </c>
      <c r="E12" s="9">
        <v>102754</v>
      </c>
      <c r="F12" s="14" t="s">
        <v>3</v>
      </c>
      <c r="G12" s="1"/>
    </row>
    <row r="13" spans="1:7" x14ac:dyDescent="0.25">
      <c r="A13" s="1"/>
      <c r="B13" s="40" t="s">
        <v>240</v>
      </c>
      <c r="C13" s="24">
        <v>27215</v>
      </c>
      <c r="D13" s="14" t="s">
        <v>3</v>
      </c>
      <c r="E13" s="9">
        <v>24551</v>
      </c>
      <c r="F13" s="14" t="s">
        <v>3</v>
      </c>
      <c r="G13" s="1"/>
    </row>
    <row r="14" spans="1:7" x14ac:dyDescent="0.25">
      <c r="A14" s="1"/>
      <c r="B14" s="27" t="s">
        <v>241</v>
      </c>
      <c r="C14" s="24">
        <v>21150</v>
      </c>
      <c r="D14" s="14" t="s">
        <v>3</v>
      </c>
      <c r="E14" s="9">
        <v>0</v>
      </c>
      <c r="F14" s="14" t="s">
        <v>3</v>
      </c>
      <c r="G14" s="1"/>
    </row>
    <row r="15" spans="1:7" x14ac:dyDescent="0.25">
      <c r="A15" s="1"/>
      <c r="B15" s="49" t="s">
        <v>63</v>
      </c>
      <c r="C15" s="12">
        <f>SUM(C10:C14)</f>
        <v>1420016</v>
      </c>
      <c r="D15" s="13" t="s">
        <v>3</v>
      </c>
      <c r="E15" s="12">
        <f>SUM(E10:E14)</f>
        <v>394534.30666666664</v>
      </c>
      <c r="F15" s="13" t="s">
        <v>3</v>
      </c>
      <c r="G15" s="1"/>
    </row>
    <row r="16" spans="1:7" x14ac:dyDescent="0.25">
      <c r="A16" s="1"/>
      <c r="B16" s="49" t="s">
        <v>74</v>
      </c>
      <c r="C16" s="12">
        <f>C15*(1+'Fane 14. Nøgletal'!C12)</f>
        <v>1447990.3152000001</v>
      </c>
      <c r="D16" s="13" t="s">
        <v>3</v>
      </c>
      <c r="E16" s="12">
        <f>E15*(1+'Fane 14. Nøgletal'!C12)</f>
        <v>402306.63250800001</v>
      </c>
      <c r="F16" s="13" t="s">
        <v>3</v>
      </c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algorithmName="SHA-512" hashValue="r/p0XonkiljeD/DmS1GXHWM2Ud+kEu6BsomzGs3BvlMmr47PW7N2Lda1I+PomieJVLaCFOJEExlvBoeTsG1DWQ==" saltValue="d0o6LzuwooU2VYfUVP/UCg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3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5" t="s">
        <v>207</v>
      </c>
      <c r="C3" s="75"/>
      <c r="D3" s="75"/>
      <c r="E3" s="75"/>
      <c r="F3" s="75"/>
      <c r="G3" s="1"/>
    </row>
    <row r="4" spans="1:7" ht="15" customHeight="1" x14ac:dyDescent="0.25">
      <c r="A4" s="1"/>
      <c r="B4" s="75"/>
      <c r="C4" s="75"/>
      <c r="D4" s="75"/>
      <c r="E4" s="75"/>
      <c r="F4" s="7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8" t="s">
        <v>168</v>
      </c>
      <c r="C8" s="99"/>
      <c r="D8" s="99"/>
      <c r="E8" s="99"/>
      <c r="F8" s="100"/>
      <c r="G8" s="1"/>
    </row>
    <row r="9" spans="1:7" x14ac:dyDescent="0.25">
      <c r="A9" s="1"/>
      <c r="B9" s="45" t="s">
        <v>24</v>
      </c>
      <c r="C9" s="45" t="s">
        <v>16</v>
      </c>
      <c r="D9" s="46"/>
      <c r="E9" s="45" t="s">
        <v>47</v>
      </c>
      <c r="F9" s="44"/>
      <c r="G9" s="1"/>
    </row>
    <row r="10" spans="1:7" x14ac:dyDescent="0.25">
      <c r="A10" s="1"/>
      <c r="B10" s="27" t="s">
        <v>239</v>
      </c>
      <c r="C10" s="24">
        <v>86741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0" t="s">
        <v>241</v>
      </c>
      <c r="C11" s="24">
        <v>634514</v>
      </c>
      <c r="D11" s="14" t="s">
        <v>3</v>
      </c>
      <c r="E11" s="9">
        <v>0</v>
      </c>
      <c r="F11" s="14" t="s">
        <v>3</v>
      </c>
      <c r="G11" s="1"/>
    </row>
    <row r="12" spans="1:7" x14ac:dyDescent="0.25">
      <c r="A12" s="1"/>
      <c r="B12" s="49" t="s">
        <v>172</v>
      </c>
      <c r="C12" s="12">
        <f>SUM(C10:C11)</f>
        <v>721255</v>
      </c>
      <c r="D12" s="13" t="s">
        <v>3</v>
      </c>
      <c r="E12" s="12">
        <f>SUM(E10:E11)</f>
        <v>0</v>
      </c>
      <c r="F12" s="13" t="s">
        <v>3</v>
      </c>
      <c r="G12" s="1"/>
    </row>
    <row r="13" spans="1:7" x14ac:dyDescent="0.25">
      <c r="A13" s="1"/>
      <c r="B13" s="29" t="s">
        <v>10</v>
      </c>
      <c r="C13" s="30">
        <f>-C12*'Fane 5. Individuelt eff. krav'!G10</f>
        <v>-13190.576074712641</v>
      </c>
      <c r="D13" s="31" t="s">
        <v>3</v>
      </c>
      <c r="E13" s="30">
        <f>-E12*'Fane 5. Individuelt eff. krav'!G10</f>
        <v>0</v>
      </c>
      <c r="F13" s="31" t="s">
        <v>3</v>
      </c>
      <c r="G13" s="1"/>
    </row>
    <row r="14" spans="1:7" x14ac:dyDescent="0.25">
      <c r="A14" s="1"/>
      <c r="B14" s="29" t="s">
        <v>176</v>
      </c>
      <c r="C14" s="30">
        <f>-C12*'Fane 14. Nøgletal'!C25</f>
        <v>-14425.1</v>
      </c>
      <c r="D14" s="31" t="s">
        <v>3</v>
      </c>
      <c r="E14" s="30">
        <f>-E12*'Fane 14. Nøgletal'!C20</f>
        <v>0</v>
      </c>
      <c r="F14" s="31" t="s">
        <v>3</v>
      </c>
      <c r="G14" s="1"/>
    </row>
    <row r="15" spans="1:7" x14ac:dyDescent="0.25">
      <c r="A15" s="1"/>
      <c r="B15" s="49" t="s">
        <v>173</v>
      </c>
      <c r="C15" s="12">
        <f>SUM(C12:C14)*(1+'Fane 14. Nøgletal'!C12)^2</f>
        <v>721237.90777316585</v>
      </c>
      <c r="D15" s="13" t="s">
        <v>3</v>
      </c>
      <c r="E15" s="12">
        <f>SUM(E12:E14)*(1+'Fane 14. Nøgletal'!C12)^2</f>
        <v>0</v>
      </c>
      <c r="F15" s="13" t="s">
        <v>3</v>
      </c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98" t="s">
        <v>169</v>
      </c>
      <c r="C17" s="99"/>
      <c r="D17" s="99"/>
      <c r="E17" s="99"/>
      <c r="F17" s="100"/>
      <c r="G17" s="1"/>
    </row>
    <row r="18" spans="1:7" x14ac:dyDescent="0.25">
      <c r="A18" s="1"/>
      <c r="B18" s="45" t="s">
        <v>24</v>
      </c>
      <c r="C18" s="45" t="s">
        <v>16</v>
      </c>
      <c r="D18" s="46"/>
      <c r="E18" s="45" t="s">
        <v>47</v>
      </c>
      <c r="F18" s="44"/>
      <c r="G18" s="1"/>
    </row>
    <row r="19" spans="1:7" x14ac:dyDescent="0.25">
      <c r="A19" s="1"/>
      <c r="B19" s="27" t="s">
        <v>242</v>
      </c>
      <c r="C19" s="24">
        <v>0</v>
      </c>
      <c r="D19" s="14" t="s">
        <v>3</v>
      </c>
      <c r="E19" s="9">
        <v>0</v>
      </c>
      <c r="F19" s="14" t="s">
        <v>3</v>
      </c>
      <c r="G19" s="1"/>
    </row>
    <row r="20" spans="1:7" x14ac:dyDescent="0.25">
      <c r="A20" s="1"/>
      <c r="B20" s="49" t="s">
        <v>172</v>
      </c>
      <c r="C20" s="12">
        <f>SUM(C19:C19)</f>
        <v>0</v>
      </c>
      <c r="D20" s="13" t="s">
        <v>3</v>
      </c>
      <c r="E20" s="12">
        <f>SUM(E19:E19)</f>
        <v>0</v>
      </c>
      <c r="F20" s="13" t="s">
        <v>3</v>
      </c>
      <c r="G20" s="1"/>
    </row>
    <row r="21" spans="1:7" x14ac:dyDescent="0.25">
      <c r="A21" s="1"/>
      <c r="B21" s="29" t="s">
        <v>10</v>
      </c>
      <c r="C21" s="30">
        <f>-C20*'Fane 5. Individuelt eff. krav'!G10</f>
        <v>0</v>
      </c>
      <c r="D21" s="31" t="s">
        <v>3</v>
      </c>
      <c r="E21" s="30">
        <f>-E20*'Fane 5. Individuelt eff. krav'!G10</f>
        <v>0</v>
      </c>
      <c r="F21" s="31" t="s">
        <v>3</v>
      </c>
      <c r="G21" s="1"/>
    </row>
    <row r="22" spans="1:7" x14ac:dyDescent="0.25">
      <c r="A22" s="1"/>
      <c r="B22" s="29" t="s">
        <v>176</v>
      </c>
      <c r="C22" s="30">
        <f>-C20*'Fane 14. Nøgletal'!C25</f>
        <v>0</v>
      </c>
      <c r="D22" s="31" t="s">
        <v>3</v>
      </c>
      <c r="E22" s="30">
        <f>-E20*'Fane 14. Nøgletal'!C20</f>
        <v>0</v>
      </c>
      <c r="F22" s="31" t="s">
        <v>3</v>
      </c>
      <c r="G22" s="1"/>
    </row>
    <row r="23" spans="1:7" x14ac:dyDescent="0.25">
      <c r="A23" s="1"/>
      <c r="B23" s="49" t="s">
        <v>174</v>
      </c>
      <c r="C23" s="12">
        <f>SUM(C20:C22)*(1+'Fane 14. Nøgletal'!C12)^3</f>
        <v>0</v>
      </c>
      <c r="D23" s="13" t="s">
        <v>3</v>
      </c>
      <c r="E23" s="12">
        <f>SUM(E20:E22)*(1+'Fane 14. Nøgletal'!C12)^3</f>
        <v>0</v>
      </c>
      <c r="F23" s="13" t="s">
        <v>3</v>
      </c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98" t="s">
        <v>170</v>
      </c>
      <c r="C25" s="99"/>
      <c r="D25" s="99"/>
      <c r="E25" s="99"/>
      <c r="F25" s="100"/>
      <c r="G25" s="1"/>
    </row>
    <row r="26" spans="1:7" x14ac:dyDescent="0.25">
      <c r="A26" s="1"/>
      <c r="B26" s="45" t="s">
        <v>24</v>
      </c>
      <c r="C26" s="45" t="s">
        <v>16</v>
      </c>
      <c r="D26" s="46"/>
      <c r="E26" s="45" t="s">
        <v>47</v>
      </c>
      <c r="F26" s="44"/>
      <c r="G26" s="1"/>
    </row>
    <row r="27" spans="1:7" x14ac:dyDescent="0.25">
      <c r="A27" s="1"/>
      <c r="B27" s="27" t="s">
        <v>242</v>
      </c>
      <c r="C27" s="24">
        <v>0</v>
      </c>
      <c r="D27" s="14" t="s">
        <v>3</v>
      </c>
      <c r="E27" s="9">
        <v>0</v>
      </c>
      <c r="F27" s="14" t="s">
        <v>3</v>
      </c>
      <c r="G27" s="1"/>
    </row>
    <row r="28" spans="1:7" x14ac:dyDescent="0.25">
      <c r="A28" s="1"/>
      <c r="B28" s="49" t="s">
        <v>172</v>
      </c>
      <c r="C28" s="12">
        <f>SUM(C27:C27)</f>
        <v>0</v>
      </c>
      <c r="D28" s="13" t="s">
        <v>3</v>
      </c>
      <c r="E28" s="12">
        <f>SUM(E27:E27)</f>
        <v>0</v>
      </c>
      <c r="F28" s="13" t="s">
        <v>3</v>
      </c>
      <c r="G28" s="1"/>
    </row>
    <row r="29" spans="1:7" x14ac:dyDescent="0.25">
      <c r="A29" s="1"/>
      <c r="B29" s="29" t="s">
        <v>10</v>
      </c>
      <c r="C29" s="30">
        <f>-C28*'Fane 5. Individuelt eff. krav'!G10</f>
        <v>0</v>
      </c>
      <c r="D29" s="31" t="s">
        <v>3</v>
      </c>
      <c r="E29" s="30">
        <f>-E28*'Fane 5. Individuelt eff. krav'!G10</f>
        <v>0</v>
      </c>
      <c r="F29" s="31" t="s">
        <v>3</v>
      </c>
      <c r="G29" s="1"/>
    </row>
    <row r="30" spans="1:7" x14ac:dyDescent="0.25">
      <c r="A30" s="1"/>
      <c r="B30" s="29" t="s">
        <v>176</v>
      </c>
      <c r="C30" s="30">
        <f>-C28*'Fane 14. Nøgletal'!C25</f>
        <v>0</v>
      </c>
      <c r="D30" s="31" t="s">
        <v>3</v>
      </c>
      <c r="E30" s="30">
        <f>-E28*'Fane 14. Nøgletal'!C20</f>
        <v>0</v>
      </c>
      <c r="F30" s="31" t="s">
        <v>3</v>
      </c>
      <c r="G30" s="1"/>
    </row>
    <row r="31" spans="1:7" x14ac:dyDescent="0.25">
      <c r="A31" s="1"/>
      <c r="B31" s="49" t="s">
        <v>174</v>
      </c>
      <c r="C31" s="12">
        <f>SUM(C28:C30)*(1+'Fane 14. Nøgletal'!C12)^4</f>
        <v>0</v>
      </c>
      <c r="D31" s="13" t="s">
        <v>3</v>
      </c>
      <c r="E31" s="12">
        <f>SUM(E28:E30)*(1+'Fane 14. Nøgletal'!C12)^4</f>
        <v>0</v>
      </c>
      <c r="F31" s="13" t="s">
        <v>3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98" t="s">
        <v>171</v>
      </c>
      <c r="C33" s="99"/>
      <c r="D33" s="99"/>
      <c r="E33" s="99"/>
      <c r="F33" s="100"/>
      <c r="G33" s="1"/>
    </row>
    <row r="34" spans="1:7" x14ac:dyDescent="0.25">
      <c r="A34" s="1"/>
      <c r="B34" s="45" t="s">
        <v>24</v>
      </c>
      <c r="C34" s="45" t="s">
        <v>16</v>
      </c>
      <c r="D34" s="46"/>
      <c r="E34" s="45" t="s">
        <v>47</v>
      </c>
      <c r="F34" s="44"/>
      <c r="G34" s="1"/>
    </row>
    <row r="35" spans="1:7" x14ac:dyDescent="0.25">
      <c r="A35" s="1"/>
      <c r="B35" s="27" t="s">
        <v>242</v>
      </c>
      <c r="C35" s="24">
        <v>0</v>
      </c>
      <c r="D35" s="14" t="s">
        <v>3</v>
      </c>
      <c r="E35" s="9">
        <v>0</v>
      </c>
      <c r="F35" s="14" t="s">
        <v>3</v>
      </c>
      <c r="G35" s="1"/>
    </row>
    <row r="36" spans="1:7" x14ac:dyDescent="0.25">
      <c r="A36" s="1"/>
      <c r="B36" s="49" t="s">
        <v>172</v>
      </c>
      <c r="C36" s="12">
        <f>SUM(C35:C35)</f>
        <v>0</v>
      </c>
      <c r="D36" s="13" t="s">
        <v>3</v>
      </c>
      <c r="E36" s="12">
        <f>SUM(E35:E35)</f>
        <v>0</v>
      </c>
      <c r="F36" s="13" t="s">
        <v>3</v>
      </c>
      <c r="G36" s="1"/>
    </row>
    <row r="37" spans="1:7" x14ac:dyDescent="0.25">
      <c r="A37" s="1"/>
      <c r="B37" s="29" t="s">
        <v>10</v>
      </c>
      <c r="C37" s="30">
        <f>-C36*'Fane 5. Individuelt eff. krav'!G10</f>
        <v>0</v>
      </c>
      <c r="D37" s="31" t="s">
        <v>3</v>
      </c>
      <c r="E37" s="30">
        <f>-E36*'Fane 5. Individuelt eff. krav'!G10</f>
        <v>0</v>
      </c>
      <c r="F37" s="31" t="s">
        <v>3</v>
      </c>
      <c r="G37" s="1"/>
    </row>
    <row r="38" spans="1:7" x14ac:dyDescent="0.25">
      <c r="A38" s="1"/>
      <c r="B38" s="29" t="s">
        <v>176</v>
      </c>
      <c r="C38" s="30">
        <f>-C36*'Fane 14. Nøgletal'!C25</f>
        <v>0</v>
      </c>
      <c r="D38" s="31" t="s">
        <v>3</v>
      </c>
      <c r="E38" s="30">
        <f>-E36*'Fane 14. Nøgletal'!C20</f>
        <v>0</v>
      </c>
      <c r="F38" s="31" t="s">
        <v>3</v>
      </c>
      <c r="G38" s="1"/>
    </row>
    <row r="39" spans="1:7" x14ac:dyDescent="0.25">
      <c r="A39" s="1"/>
      <c r="B39" s="49" t="s">
        <v>174</v>
      </c>
      <c r="C39" s="12">
        <f>SUM(C36:C38)*(1+'Fane 14. Nøgletal'!C12)^5</f>
        <v>0</v>
      </c>
      <c r="D39" s="13" t="s">
        <v>3</v>
      </c>
      <c r="E39" s="12">
        <f>SUM(E36:E38)*(1+'Fane 14. Nøgletal'!C12)^5</f>
        <v>0</v>
      </c>
      <c r="F39" s="13" t="s">
        <v>3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algorithmName="SHA-512" hashValue="6EqGlfk6+kqVAH0huzahtFSmUFf9QuKisVpwZFv2fO2EAMnFphl+bIXD7MIu5Ku9O0eHp4vAjRtLyi7o5qnKzA==" saltValue="tvng77TvTUheVS/I4mKOgQ==" spinCount="100000" sheet="1" objects="1" scenarios="1"/>
  <mergeCells count="5">
    <mergeCell ref="B3:F4"/>
    <mergeCell ref="B8:F8"/>
    <mergeCell ref="B17:F17"/>
    <mergeCell ref="B25:F25"/>
    <mergeCell ref="B33:F3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3.85546875" style="2" customWidth="1"/>
    <col min="4" max="4" width="3.28515625" style="2" customWidth="1"/>
    <col min="5" max="5" width="14.57031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5" t="s">
        <v>208</v>
      </c>
      <c r="C3" s="85"/>
      <c r="D3" s="85"/>
      <c r="E3" s="85"/>
      <c r="F3" s="85"/>
      <c r="G3" s="1"/>
    </row>
    <row r="4" spans="1:7" ht="25.5" customHeight="1" x14ac:dyDescent="0.25">
      <c r="A4" s="1"/>
      <c r="B4" s="85"/>
      <c r="C4" s="85"/>
      <c r="D4" s="85"/>
      <c r="E4" s="85"/>
      <c r="F4" s="8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8" t="s">
        <v>31</v>
      </c>
      <c r="C8" s="99"/>
      <c r="D8" s="99"/>
      <c r="E8" s="99"/>
      <c r="F8" s="100"/>
      <c r="G8" s="1"/>
    </row>
    <row r="9" spans="1:7" ht="15" customHeight="1" x14ac:dyDescent="0.25">
      <c r="A9" s="1"/>
      <c r="B9" s="43" t="s">
        <v>32</v>
      </c>
      <c r="C9" s="95" t="s">
        <v>16</v>
      </c>
      <c r="D9" s="97"/>
      <c r="E9" s="95" t="s">
        <v>47</v>
      </c>
      <c r="F9" s="97"/>
      <c r="G9" s="1"/>
    </row>
    <row r="10" spans="1:7" x14ac:dyDescent="0.25">
      <c r="A10" s="1"/>
      <c r="B10" s="27" t="s">
        <v>232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3" t="s">
        <v>33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3" t="s">
        <v>76</v>
      </c>
      <c r="C12" s="12">
        <f>C11*(1+'Fane 14. Nøgletal'!C12)</f>
        <v>0</v>
      </c>
      <c r="D12" s="13" t="s">
        <v>3</v>
      </c>
      <c r="E12" s="12">
        <f>E11*(1+'Fane 14.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8dlkNbyeVHn8AAvrOitSDq5Iqo7EqKndtO75ogorPNdXrcYUtJNv8YS8+tp1P3RtXeReva9+o6qfyhu9GgbdmA==" saltValue="L9XzSuTmp68eVMaCojBdug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5" t="s">
        <v>209</v>
      </c>
      <c r="C3" s="85"/>
      <c r="D3" s="85"/>
      <c r="E3" s="85"/>
      <c r="F3" s="85"/>
      <c r="G3" s="1"/>
    </row>
    <row r="4" spans="1:7" ht="25.5" customHeight="1" x14ac:dyDescent="0.25">
      <c r="A4" s="1"/>
      <c r="B4" s="85"/>
      <c r="C4" s="85"/>
      <c r="D4" s="85"/>
      <c r="E4" s="85"/>
      <c r="F4" s="8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8" t="s">
        <v>156</v>
      </c>
      <c r="C8" s="99"/>
      <c r="D8" s="99"/>
      <c r="E8" s="99"/>
      <c r="F8" s="100"/>
      <c r="G8" s="1"/>
    </row>
    <row r="9" spans="1:7" ht="15" customHeight="1" x14ac:dyDescent="0.25">
      <c r="A9" s="1"/>
      <c r="B9" s="43" t="s">
        <v>25</v>
      </c>
      <c r="C9" s="43" t="s">
        <v>16</v>
      </c>
      <c r="D9" s="44"/>
      <c r="E9" s="43" t="s">
        <v>47</v>
      </c>
      <c r="F9" s="44"/>
      <c r="G9" s="1"/>
    </row>
    <row r="10" spans="1:7" x14ac:dyDescent="0.25">
      <c r="A10" s="1"/>
      <c r="B10" s="27" t="s">
        <v>233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9" t="s">
        <v>64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49" t="s">
        <v>75</v>
      </c>
      <c r="C12" s="12">
        <f>C11*(1+'Fane 14. Nøgletal'!C12)</f>
        <v>0</v>
      </c>
      <c r="D12" s="13" t="s">
        <v>3</v>
      </c>
      <c r="E12" s="12">
        <f>E11*(1+'Fane 14.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98" t="s">
        <v>157</v>
      </c>
      <c r="C15" s="99"/>
      <c r="D15" s="99"/>
      <c r="E15" s="99"/>
      <c r="F15" s="100"/>
      <c r="G15" s="1"/>
    </row>
    <row r="16" spans="1:7" ht="26.25" x14ac:dyDescent="0.25">
      <c r="A16" s="1"/>
      <c r="B16" s="43" t="s">
        <v>25</v>
      </c>
      <c r="C16" s="43" t="s">
        <v>16</v>
      </c>
      <c r="D16" s="44"/>
      <c r="E16" s="43" t="s">
        <v>47</v>
      </c>
      <c r="F16" s="44"/>
      <c r="G16" s="1"/>
    </row>
    <row r="17" spans="1:7" x14ac:dyDescent="0.25">
      <c r="A17" s="1"/>
      <c r="B17" s="27" t="s">
        <v>233</v>
      </c>
      <c r="C17" s="9">
        <v>0</v>
      </c>
      <c r="D17" s="14" t="s">
        <v>3</v>
      </c>
      <c r="E17" s="9">
        <v>0</v>
      </c>
      <c r="F17" s="14" t="s">
        <v>3</v>
      </c>
      <c r="G17" s="1"/>
    </row>
    <row r="18" spans="1:7" x14ac:dyDescent="0.25">
      <c r="A18" s="1"/>
      <c r="B18" s="49" t="s">
        <v>64</v>
      </c>
      <c r="C18" s="12">
        <f>SUM(C17:C17)</f>
        <v>0</v>
      </c>
      <c r="D18" s="13" t="s">
        <v>3</v>
      </c>
      <c r="E18" s="12">
        <f>SUM(E17:E17)</f>
        <v>0</v>
      </c>
      <c r="F18" s="13" t="s">
        <v>3</v>
      </c>
      <c r="G18" s="1"/>
    </row>
    <row r="19" spans="1:7" x14ac:dyDescent="0.25">
      <c r="A19" s="1"/>
      <c r="B19" s="49" t="s">
        <v>148</v>
      </c>
      <c r="C19" s="12">
        <f>C18*(1+'Fane 14. Nøgletal'!C12)^2</f>
        <v>0</v>
      </c>
      <c r="D19" s="13" t="s">
        <v>3</v>
      </c>
      <c r="E19" s="12">
        <f>E18*(1+'Fane 14. Nøgletal'!C12)^2</f>
        <v>0</v>
      </c>
      <c r="F19" s="13" t="s">
        <v>3</v>
      </c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98" t="s">
        <v>155</v>
      </c>
      <c r="C22" s="99"/>
      <c r="D22" s="99"/>
      <c r="E22" s="99"/>
      <c r="F22" s="100"/>
      <c r="G22" s="1"/>
    </row>
    <row r="23" spans="1:7" ht="26.25" x14ac:dyDescent="0.25">
      <c r="A23" s="1"/>
      <c r="B23" s="43" t="s">
        <v>25</v>
      </c>
      <c r="C23" s="43" t="s">
        <v>16</v>
      </c>
      <c r="D23" s="44"/>
      <c r="E23" s="43" t="s">
        <v>47</v>
      </c>
      <c r="F23" s="44"/>
      <c r="G23" s="1"/>
    </row>
    <row r="24" spans="1:7" x14ac:dyDescent="0.25">
      <c r="A24" s="1"/>
      <c r="B24" s="27" t="s">
        <v>233</v>
      </c>
      <c r="C24" s="9">
        <v>0</v>
      </c>
      <c r="D24" s="14" t="s">
        <v>3</v>
      </c>
      <c r="E24" s="9">
        <v>0</v>
      </c>
      <c r="F24" s="14" t="s">
        <v>3</v>
      </c>
      <c r="G24" s="1"/>
    </row>
    <row r="25" spans="1:7" x14ac:dyDescent="0.25">
      <c r="A25" s="1"/>
      <c r="B25" s="49" t="s">
        <v>64</v>
      </c>
      <c r="C25" s="12">
        <f>SUM(C24:C24)</f>
        <v>0</v>
      </c>
      <c r="D25" s="13" t="s">
        <v>3</v>
      </c>
      <c r="E25" s="12">
        <f>SUM(E24:E24)</f>
        <v>0</v>
      </c>
      <c r="F25" s="13" t="s">
        <v>3</v>
      </c>
      <c r="G25" s="1"/>
    </row>
    <row r="26" spans="1:7" x14ac:dyDescent="0.25">
      <c r="A26" s="1"/>
      <c r="B26" s="49" t="s">
        <v>149</v>
      </c>
      <c r="C26" s="12">
        <f>C25*(1+'Fane 14. Nøgletal'!C12)^3</f>
        <v>0</v>
      </c>
      <c r="D26" s="13" t="s">
        <v>3</v>
      </c>
      <c r="E26" s="12">
        <f>E25*(1+'Fane 14. Nøgletal'!C12)^3</f>
        <v>0</v>
      </c>
      <c r="F26" s="13" t="s">
        <v>3</v>
      </c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98" t="s">
        <v>158</v>
      </c>
      <c r="C29" s="99"/>
      <c r="D29" s="99"/>
      <c r="E29" s="99"/>
      <c r="F29" s="100"/>
      <c r="G29" s="1"/>
    </row>
    <row r="30" spans="1:7" ht="26.25" x14ac:dyDescent="0.25">
      <c r="A30" s="1"/>
      <c r="B30" s="43" t="s">
        <v>25</v>
      </c>
      <c r="C30" s="43" t="s">
        <v>16</v>
      </c>
      <c r="D30" s="44"/>
      <c r="E30" s="43" t="s">
        <v>47</v>
      </c>
      <c r="F30" s="44"/>
      <c r="G30" s="1"/>
    </row>
    <row r="31" spans="1:7" x14ac:dyDescent="0.25">
      <c r="A31" s="1"/>
      <c r="B31" s="27" t="s">
        <v>233</v>
      </c>
      <c r="C31" s="9">
        <v>0</v>
      </c>
      <c r="D31" s="14" t="s">
        <v>3</v>
      </c>
      <c r="E31" s="9">
        <v>0</v>
      </c>
      <c r="F31" s="14" t="s">
        <v>3</v>
      </c>
      <c r="G31" s="1"/>
    </row>
    <row r="32" spans="1:7" x14ac:dyDescent="0.25">
      <c r="A32" s="1"/>
      <c r="B32" s="49" t="s">
        <v>64</v>
      </c>
      <c r="C32" s="12">
        <f>SUM(C31:C31)</f>
        <v>0</v>
      </c>
      <c r="D32" s="13" t="s">
        <v>3</v>
      </c>
      <c r="E32" s="12">
        <f>SUM(E31:E31)</f>
        <v>0</v>
      </c>
      <c r="F32" s="13" t="s">
        <v>3</v>
      </c>
      <c r="G32" s="1"/>
    </row>
    <row r="33" spans="1:7" x14ac:dyDescent="0.25">
      <c r="A33" s="1"/>
      <c r="B33" s="49" t="s">
        <v>150</v>
      </c>
      <c r="C33" s="12">
        <f>C32*(1+'Fane 14. Nøgletal'!C12)^4</f>
        <v>0</v>
      </c>
      <c r="D33" s="13" t="s">
        <v>3</v>
      </c>
      <c r="E33" s="12">
        <f>E32*(1+'Fane 14. Nøgletal'!C12)^4</f>
        <v>0</v>
      </c>
      <c r="F33" s="13" t="s">
        <v>3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GG6C9T0LVKNaouFLOqREy4yBUvf+9GAEmpmbKSqLW+TeXOO8iOjscmbEv6ThHs797wOTDOTNt+rs4GQ5G2wdMw==" saltValue="6SmAHuvoKqGFQPIVmj5viw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5" t="s">
        <v>210</v>
      </c>
      <c r="C3" s="75"/>
      <c r="D3" s="75"/>
      <c r="E3" s="75"/>
      <c r="F3" s="75"/>
      <c r="G3" s="75"/>
      <c r="H3" s="75"/>
      <c r="I3" s="1"/>
    </row>
    <row r="4" spans="1:9" ht="15" customHeight="1" x14ac:dyDescent="0.25">
      <c r="A4" s="1"/>
      <c r="B4" s="75"/>
      <c r="C4" s="75"/>
      <c r="D4" s="75"/>
      <c r="E4" s="75"/>
      <c r="F4" s="75"/>
      <c r="G4" s="75"/>
      <c r="H4" s="75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8" t="s">
        <v>18</v>
      </c>
      <c r="C8" s="99"/>
      <c r="D8" s="99"/>
      <c r="E8" s="99"/>
      <c r="F8" s="99"/>
      <c r="G8" s="99"/>
      <c r="H8" s="100"/>
      <c r="I8" s="1"/>
    </row>
    <row r="9" spans="1:9" x14ac:dyDescent="0.25">
      <c r="A9" s="1"/>
      <c r="B9" s="101" t="s">
        <v>12</v>
      </c>
      <c r="C9" s="102"/>
      <c r="D9" s="102"/>
      <c r="E9" s="102"/>
      <c r="F9" s="103"/>
      <c r="G9" s="9">
        <v>-3875248</v>
      </c>
      <c r="H9" s="14" t="s">
        <v>3</v>
      </c>
      <c r="I9" s="1"/>
    </row>
    <row r="10" spans="1:9" x14ac:dyDescent="0.25">
      <c r="A10" s="1"/>
      <c r="B10" s="101" t="s">
        <v>135</v>
      </c>
      <c r="C10" s="102"/>
      <c r="D10" s="102"/>
      <c r="E10" s="102"/>
      <c r="F10" s="103"/>
      <c r="G10" s="9">
        <v>0</v>
      </c>
      <c r="H10" s="14" t="s">
        <v>3</v>
      </c>
      <c r="I10" s="1"/>
    </row>
    <row r="11" spans="1:9" x14ac:dyDescent="0.25">
      <c r="A11" s="1"/>
      <c r="B11" s="101" t="s">
        <v>80</v>
      </c>
      <c r="C11" s="102"/>
      <c r="D11" s="102"/>
      <c r="E11" s="102"/>
      <c r="F11" s="103"/>
      <c r="G11" s="9">
        <v>3875248</v>
      </c>
      <c r="H11" s="14" t="s">
        <v>3</v>
      </c>
      <c r="I11" s="1"/>
    </row>
    <row r="12" spans="1:9" x14ac:dyDescent="0.25">
      <c r="A12" s="1"/>
      <c r="B12" s="115" t="s">
        <v>15</v>
      </c>
      <c r="C12" s="116"/>
      <c r="D12" s="116"/>
      <c r="E12" s="116"/>
      <c r="F12" s="117"/>
      <c r="G12" s="19">
        <f>(G9+G10)+G11</f>
        <v>0</v>
      </c>
      <c r="H12" s="18" t="s">
        <v>3</v>
      </c>
      <c r="I12" s="1"/>
    </row>
    <row r="13" spans="1:9" x14ac:dyDescent="0.25">
      <c r="A13" s="1"/>
      <c r="B13" s="101" t="s">
        <v>13</v>
      </c>
      <c r="C13" s="102"/>
      <c r="D13" s="102"/>
      <c r="E13" s="102"/>
      <c r="F13" s="103"/>
      <c r="G13" s="9">
        <v>0</v>
      </c>
      <c r="H13" s="14" t="s">
        <v>27</v>
      </c>
      <c r="I13" s="1"/>
    </row>
    <row r="14" spans="1:9" x14ac:dyDescent="0.25">
      <c r="A14" s="1"/>
      <c r="B14" s="98" t="s">
        <v>136</v>
      </c>
      <c r="C14" s="99"/>
      <c r="D14" s="99"/>
      <c r="E14" s="99"/>
      <c r="F14" s="100"/>
      <c r="G14" s="12">
        <f>IF(G13 = 0,0,-G12/G13)</f>
        <v>0</v>
      </c>
      <c r="H14" s="13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Lpuxv7W8DJ4Dx/QthaWyLSHgwW6T8DBl8Ee0J7lxe3t3SAVmAYJ8xk1C92IEqxbtg2tOW7gqb1JP6SXb4x1y9Q==" saltValue="yQNZzzv344Wu437L+TcvYQ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50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6.1406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85" t="s">
        <v>54</v>
      </c>
      <c r="C3" s="85"/>
      <c r="D3" s="1"/>
    </row>
    <row r="4" spans="1:4" ht="25.5" customHeight="1" x14ac:dyDescent="0.25">
      <c r="A4" s="1"/>
      <c r="B4" s="85"/>
      <c r="C4" s="85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9" t="s">
        <v>21</v>
      </c>
      <c r="C8" s="22"/>
      <c r="D8" s="1"/>
    </row>
    <row r="9" spans="1:4" x14ac:dyDescent="0.25">
      <c r="A9" s="1"/>
      <c r="B9" s="51" t="s">
        <v>211</v>
      </c>
      <c r="C9" s="28">
        <v>1.2699999999999999E-2</v>
      </c>
      <c r="D9" s="1"/>
    </row>
    <row r="10" spans="1:4" x14ac:dyDescent="0.25">
      <c r="A10" s="1"/>
      <c r="B10" s="51" t="s">
        <v>30</v>
      </c>
      <c r="C10" s="28">
        <v>1.7500000000000002E-2</v>
      </c>
      <c r="D10" s="1"/>
    </row>
    <row r="11" spans="1:4" x14ac:dyDescent="0.25">
      <c r="A11" s="1"/>
      <c r="B11" s="51" t="s">
        <v>212</v>
      </c>
      <c r="C11" s="28">
        <v>1.6899999999999998E-2</v>
      </c>
      <c r="D11" s="1"/>
    </row>
    <row r="12" spans="1:4" x14ac:dyDescent="0.25">
      <c r="A12" s="1"/>
      <c r="B12" s="35" t="s">
        <v>73</v>
      </c>
      <c r="C12" s="36">
        <v>1.9699999999999999E-2</v>
      </c>
      <c r="D12" s="1"/>
    </row>
    <row r="13" spans="1:4" x14ac:dyDescent="0.25">
      <c r="A13" s="1"/>
      <c r="B13" s="98"/>
      <c r="C13" s="100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9" t="s">
        <v>181</v>
      </c>
      <c r="C16" s="22"/>
      <c r="D16" s="1"/>
    </row>
    <row r="17" spans="1:4" x14ac:dyDescent="0.25">
      <c r="A17" s="1"/>
      <c r="B17" s="51" t="s">
        <v>213</v>
      </c>
      <c r="C17" s="25">
        <v>9.1000000000000004E-3</v>
      </c>
      <c r="D17" s="1"/>
    </row>
    <row r="18" spans="1:4" x14ac:dyDescent="0.25">
      <c r="A18" s="1"/>
      <c r="B18" s="51" t="s">
        <v>214</v>
      </c>
      <c r="C18" s="25">
        <v>1.77E-2</v>
      </c>
      <c r="D18" s="1"/>
    </row>
    <row r="19" spans="1:4" x14ac:dyDescent="0.25">
      <c r="A19" s="1"/>
      <c r="B19" s="51" t="s">
        <v>215</v>
      </c>
      <c r="C19" s="25">
        <v>8.6999999999999994E-3</v>
      </c>
      <c r="D19" s="1"/>
    </row>
    <row r="20" spans="1:4" x14ac:dyDescent="0.25">
      <c r="A20" s="1"/>
      <c r="B20" s="51" t="s">
        <v>216</v>
      </c>
      <c r="C20" s="37">
        <v>2.8400000000000002E-2</v>
      </c>
      <c r="D20" s="1"/>
    </row>
    <row r="21" spans="1:4" x14ac:dyDescent="0.25">
      <c r="A21" s="1"/>
      <c r="B21" s="49"/>
      <c r="C21" s="22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49" t="s">
        <v>182</v>
      </c>
      <c r="C24" s="22"/>
      <c r="D24" s="1"/>
    </row>
    <row r="25" spans="1:4" x14ac:dyDescent="0.25">
      <c r="A25" s="1"/>
      <c r="B25" s="51" t="s">
        <v>217</v>
      </c>
      <c r="C25" s="28">
        <v>0.02</v>
      </c>
      <c r="D25" s="1"/>
    </row>
    <row r="26" spans="1:4" x14ac:dyDescent="0.25">
      <c r="A26" s="1"/>
      <c r="B26" s="49"/>
      <c r="C26" s="22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</sheetData>
  <sheetProtection algorithmName="SHA-512" hashValue="2+ELa/kjUNjTOrnmawnRrkoRxSwyQE73DkAi8zbzg1f528LiGXWDcPk3Px5UOXLCjMZ6WwgtPhCbleaAdz/m6g==" saltValue="dO2ywuYjXWq11KUNHONsiw==" spinCount="100000" sheet="1" objects="1" scenarios="1"/>
  <mergeCells count="2">
    <mergeCell ref="B3:C4"/>
    <mergeCell ref="B13:C13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6.7109375" style="2" customWidth="1"/>
    <col min="3" max="3" width="12.7109375" style="2" bestFit="1" customWidth="1"/>
    <col min="4" max="4" width="3.85546875" style="2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5" t="s">
        <v>65</v>
      </c>
      <c r="C3" s="75"/>
      <c r="D3" s="75"/>
      <c r="E3" s="1"/>
    </row>
    <row r="4" spans="1:5" ht="15" customHeight="1" x14ac:dyDescent="0.25">
      <c r="A4" s="1"/>
      <c r="B4" s="75"/>
      <c r="C4" s="75"/>
      <c r="D4" s="75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9" t="s">
        <v>20</v>
      </c>
      <c r="C8" s="50"/>
      <c r="D8" s="22"/>
      <c r="E8" s="1"/>
    </row>
    <row r="9" spans="1:5" x14ac:dyDescent="0.25">
      <c r="A9" s="1"/>
      <c r="B9" s="48" t="s">
        <v>34</v>
      </c>
      <c r="C9" s="7">
        <f>'Fane 3. Omkostninger i ØR2019'!E22</f>
        <v>60880114.871881917</v>
      </c>
      <c r="D9" s="8" t="s">
        <v>3</v>
      </c>
      <c r="E9" s="1"/>
    </row>
    <row r="10" spans="1:5" ht="17.100000000000001" customHeight="1" x14ac:dyDescent="0.25">
      <c r="A10" s="1"/>
      <c r="B10" s="32" t="s">
        <v>67</v>
      </c>
      <c r="C10" s="7">
        <f>'Fane 10.1. Varige tillæg'!C16</f>
        <v>1447990.3152000001</v>
      </c>
      <c r="D10" s="8" t="s">
        <v>3</v>
      </c>
      <c r="E10" s="1"/>
    </row>
    <row r="11" spans="1:5" ht="17.100000000000001" customHeight="1" x14ac:dyDescent="0.25">
      <c r="A11" s="1"/>
      <c r="B11" s="32" t="s">
        <v>68</v>
      </c>
      <c r="C11" s="9">
        <f>'Fane 10.1. Varige tillæg'!E16</f>
        <v>402306.63250800001</v>
      </c>
      <c r="D11" s="8" t="s">
        <v>3</v>
      </c>
      <c r="E11" s="1"/>
    </row>
    <row r="12" spans="1:5" ht="17.100000000000001" customHeight="1" x14ac:dyDescent="0.25">
      <c r="A12" s="1"/>
      <c r="B12" s="32" t="s">
        <v>41</v>
      </c>
      <c r="C12" s="9">
        <f>-'Fane 12.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32" t="s">
        <v>40</v>
      </c>
      <c r="C13" s="9">
        <f>-'Fane 12.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32" t="s">
        <v>43</v>
      </c>
      <c r="C14" s="9">
        <f>'Fane 11. Tilknyttet aktivitet'!C12</f>
        <v>0</v>
      </c>
      <c r="D14" s="8" t="s">
        <v>3</v>
      </c>
      <c r="E14" s="1"/>
    </row>
    <row r="15" spans="1:5" ht="17.100000000000001" customHeight="1" x14ac:dyDescent="0.25">
      <c r="A15" s="1"/>
      <c r="B15" s="32" t="s">
        <v>42</v>
      </c>
      <c r="C15" s="9">
        <f>'Fane 11. Tilknyttet aktivitet'!E12</f>
        <v>0</v>
      </c>
      <c r="D15" s="8" t="s">
        <v>3</v>
      </c>
      <c r="E15" s="1"/>
    </row>
    <row r="16" spans="1:5" ht="17.100000000000001" customHeight="1" x14ac:dyDescent="0.25">
      <c r="A16" s="1"/>
      <c r="B16" s="32" t="s">
        <v>26</v>
      </c>
      <c r="C16" s="9">
        <f>C9*'Fane 14. Nøgletal'!C11+SUM(C10:C15)*'Fane 14. Nøgletal'!C12</f>
        <v>1065324.7912046518</v>
      </c>
      <c r="D16" s="8" t="s">
        <v>3</v>
      </c>
      <c r="E16" s="1"/>
    </row>
    <row r="17" spans="1:5" ht="17.100000000000001" customHeight="1" x14ac:dyDescent="0.25">
      <c r="A17" s="1"/>
      <c r="B17" s="32" t="s">
        <v>10</v>
      </c>
      <c r="C17" s="9">
        <f>-SUM(C9:C16)*'Fane 5. Individuelt eff. krav'!G10</f>
        <v>-1166719.8383470704</v>
      </c>
      <c r="D17" s="8" t="s">
        <v>3</v>
      </c>
      <c r="E17" s="1"/>
    </row>
    <row r="18" spans="1:5" ht="17.100000000000001" customHeight="1" x14ac:dyDescent="0.25">
      <c r="A18" s="1"/>
      <c r="B18" s="32" t="s">
        <v>38</v>
      </c>
      <c r="C18" s="9">
        <f>-'Fane 4.1. Gen. krav - drift'!G26</f>
        <v>-546820.52208042482</v>
      </c>
      <c r="D18" s="8" t="s">
        <v>3</v>
      </c>
      <c r="E18" s="1"/>
    </row>
    <row r="19" spans="1:5" ht="17.100000000000001" customHeight="1" x14ac:dyDescent="0.25">
      <c r="A19" s="1"/>
      <c r="B19" s="32" t="s">
        <v>39</v>
      </c>
      <c r="C19" s="9">
        <f>-'Fane 4.2. Gen. krav - anlæg'!G25</f>
        <v>-357916.40326635895</v>
      </c>
      <c r="D19" s="8" t="s">
        <v>3</v>
      </c>
      <c r="E19" s="1"/>
    </row>
    <row r="20" spans="1:5" ht="17.100000000000001" customHeight="1" x14ac:dyDescent="0.25">
      <c r="A20" s="1"/>
      <c r="B20" s="53" t="s">
        <v>28</v>
      </c>
      <c r="C20" s="10">
        <f>SUM(C9:C19)</f>
        <v>61724279.847100727</v>
      </c>
      <c r="D20" s="11" t="s">
        <v>3</v>
      </c>
      <c r="E20" s="1"/>
    </row>
    <row r="21" spans="1:5" ht="15" customHeight="1" x14ac:dyDescent="0.25">
      <c r="A21" s="1"/>
      <c r="B21" s="49" t="s">
        <v>17</v>
      </c>
      <c r="C21" s="50"/>
      <c r="D21" s="22"/>
      <c r="E21" s="1"/>
    </row>
    <row r="22" spans="1:5" ht="15" customHeight="1" x14ac:dyDescent="0.25">
      <c r="A22" s="1"/>
      <c r="B22" s="43" t="s">
        <v>17</v>
      </c>
      <c r="C22" s="10">
        <f>'Fane 6. Ikke-påvirkelige omk.'!C15</f>
        <v>31273855.07262687</v>
      </c>
      <c r="D22" s="11" t="s">
        <v>3</v>
      </c>
      <c r="E22" s="1"/>
    </row>
    <row r="23" spans="1:5" ht="15" customHeight="1" x14ac:dyDescent="0.25">
      <c r="A23" s="1"/>
      <c r="B23" s="49" t="s">
        <v>142</v>
      </c>
      <c r="C23" s="50"/>
      <c r="D23" s="22"/>
      <c r="E23" s="1"/>
    </row>
    <row r="24" spans="1:5" ht="15" customHeight="1" x14ac:dyDescent="0.25">
      <c r="A24" s="1"/>
      <c r="B24" s="32" t="s">
        <v>138</v>
      </c>
      <c r="C24" s="9">
        <f>'Fane 10.2. Engangstillæg'!C15</f>
        <v>721237.90777316585</v>
      </c>
      <c r="D24" s="8" t="s">
        <v>3</v>
      </c>
      <c r="E24" s="1"/>
    </row>
    <row r="25" spans="1:5" ht="15" customHeight="1" x14ac:dyDescent="0.25">
      <c r="A25" s="1"/>
      <c r="B25" s="32" t="s">
        <v>139</v>
      </c>
      <c r="C25" s="9">
        <f>'Fane 10.2. Engangstillæg'!E15</f>
        <v>0</v>
      </c>
      <c r="D25" s="8" t="s">
        <v>3</v>
      </c>
      <c r="E25" s="1"/>
    </row>
    <row r="26" spans="1:5" x14ac:dyDescent="0.25">
      <c r="A26" s="1"/>
      <c r="B26" s="53" t="s">
        <v>143</v>
      </c>
      <c r="C26" s="10">
        <f>SUM(C24:C25)</f>
        <v>721237.90777316585</v>
      </c>
      <c r="D26" s="11" t="s">
        <v>3</v>
      </c>
      <c r="E26" s="1"/>
    </row>
    <row r="27" spans="1:5" x14ac:dyDescent="0.25">
      <c r="A27" s="1"/>
      <c r="B27" s="49" t="s">
        <v>11</v>
      </c>
      <c r="C27" s="50"/>
      <c r="D27" s="22"/>
      <c r="E27" s="1"/>
    </row>
    <row r="28" spans="1:5" ht="15" customHeight="1" x14ac:dyDescent="0.25">
      <c r="A28" s="1"/>
      <c r="B28" s="43" t="s">
        <v>19</v>
      </c>
      <c r="C28" s="10">
        <f>'Fane 13. Hist. over-underdæk.'!G14</f>
        <v>0</v>
      </c>
      <c r="D28" s="11" t="s">
        <v>3</v>
      </c>
      <c r="E28" s="1"/>
    </row>
    <row r="29" spans="1:5" ht="15" customHeight="1" x14ac:dyDescent="0.25">
      <c r="A29" s="1"/>
      <c r="B29" s="49" t="s">
        <v>53</v>
      </c>
      <c r="C29" s="50"/>
      <c r="D29" s="22"/>
      <c r="E29" s="1"/>
    </row>
    <row r="30" spans="1:5" x14ac:dyDescent="0.25">
      <c r="A30" s="1"/>
      <c r="B30" s="43" t="s">
        <v>218</v>
      </c>
      <c r="C30" s="10">
        <f>'Fane 7. Kontrol af ØR2018'!E32</f>
        <v>3454200.059017865</v>
      </c>
      <c r="D30" s="11" t="s">
        <v>3</v>
      </c>
      <c r="E30" s="1"/>
    </row>
    <row r="31" spans="1:5" x14ac:dyDescent="0.25">
      <c r="A31" s="1"/>
      <c r="B31" s="49" t="s">
        <v>225</v>
      </c>
      <c r="C31" s="50"/>
      <c r="D31" s="22"/>
      <c r="E31" s="1"/>
    </row>
    <row r="32" spans="1:5" x14ac:dyDescent="0.25">
      <c r="A32" s="1"/>
      <c r="B32" s="43" t="s">
        <v>226</v>
      </c>
      <c r="C32" s="10">
        <f>'Fane 8. Korrektioner'!E10</f>
        <v>0</v>
      </c>
      <c r="D32" s="11" t="s">
        <v>3</v>
      </c>
      <c r="E32" s="1"/>
    </row>
    <row r="33" spans="1:5" x14ac:dyDescent="0.25">
      <c r="A33" s="1"/>
      <c r="B33" s="49" t="s">
        <v>35</v>
      </c>
      <c r="C33" s="33">
        <f>SUM(C20,C22,C26,C28,C30,C32)</f>
        <v>97173572.886518627</v>
      </c>
      <c r="D33" s="22" t="s">
        <v>3</v>
      </c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oP9g07Zx2g24WbdzWGE9JeMDYJaFMvNUezm3bo+fdEmJOCZUkupMH4oEsxUeuUqJtk+OKF9LTEEeHoma41qfHg==" saltValue="WVfbNed+prPQYNJ1a4RSqA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42578125" style="2" customWidth="1"/>
    <col min="3" max="3" width="10.285156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5" t="s">
        <v>85</v>
      </c>
      <c r="C3" s="75"/>
      <c r="D3" s="75"/>
      <c r="E3" s="1"/>
    </row>
    <row r="4" spans="1:5" ht="15" customHeight="1" x14ac:dyDescent="0.25">
      <c r="A4" s="1"/>
      <c r="B4" s="75"/>
      <c r="C4" s="75"/>
      <c r="D4" s="75"/>
      <c r="E4" s="1"/>
    </row>
    <row r="5" spans="1:5" x14ac:dyDescent="0.25">
      <c r="A5" s="1"/>
      <c r="B5" s="76" t="s">
        <v>29</v>
      </c>
      <c r="C5" s="76"/>
      <c r="D5" s="76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9" t="s">
        <v>20</v>
      </c>
      <c r="C8" s="50"/>
      <c r="D8" s="22"/>
      <c r="E8" s="1"/>
    </row>
    <row r="9" spans="1:5" ht="15" customHeight="1" x14ac:dyDescent="0.25">
      <c r="A9" s="1"/>
      <c r="B9" s="48" t="s">
        <v>36</v>
      </c>
      <c r="C9" s="7">
        <f>'Fane 2.1. Økonomisk ramme 2020'!C20</f>
        <v>61724279.847100727</v>
      </c>
      <c r="D9" s="8" t="s">
        <v>3</v>
      </c>
      <c r="E9" s="1"/>
    </row>
    <row r="10" spans="1:5" ht="15" customHeight="1" x14ac:dyDescent="0.25">
      <c r="A10" s="1"/>
      <c r="B10" s="32" t="s">
        <v>41</v>
      </c>
      <c r="C10" s="7">
        <f>-'Fane 12. Bortfald'!C19</f>
        <v>0</v>
      </c>
      <c r="D10" s="8" t="s">
        <v>3</v>
      </c>
      <c r="E10" s="1"/>
    </row>
    <row r="11" spans="1:5" ht="15" customHeight="1" x14ac:dyDescent="0.25">
      <c r="A11" s="1"/>
      <c r="B11" s="32" t="s">
        <v>40</v>
      </c>
      <c r="C11" s="7">
        <f>-'Fane 12. Bortfald'!E19</f>
        <v>0</v>
      </c>
      <c r="D11" s="8" t="s">
        <v>3</v>
      </c>
      <c r="E11" s="1"/>
    </row>
    <row r="12" spans="1:5" ht="15" customHeight="1" x14ac:dyDescent="0.25">
      <c r="A12" s="1"/>
      <c r="B12" s="41" t="s">
        <v>26</v>
      </c>
      <c r="C12" s="9">
        <f>SUM(C9:C11)*'Fane 14. Nøgletal'!C12</f>
        <v>1215968.3129878843</v>
      </c>
      <c r="D12" s="8" t="s">
        <v>3</v>
      </c>
      <c r="E12" s="1"/>
    </row>
    <row r="13" spans="1:5" ht="15" customHeight="1" x14ac:dyDescent="0.25">
      <c r="A13" s="1"/>
      <c r="B13" s="41" t="s">
        <v>10</v>
      </c>
      <c r="C13" s="9">
        <f>-SUM(C9:C12)*'Fane 5. Individuelt eff. krav'!G10</f>
        <v>-1151074.3516744303</v>
      </c>
      <c r="D13" s="8" t="s">
        <v>3</v>
      </c>
      <c r="E13" s="1"/>
    </row>
    <row r="14" spans="1:5" ht="15" customHeight="1" x14ac:dyDescent="0.25">
      <c r="A14" s="1"/>
      <c r="B14" s="41" t="s">
        <v>38</v>
      </c>
      <c r="C14" s="9">
        <f>-'Fane 4.1. Gen. krav - drift'!G32</f>
        <v>-546441.02863810095</v>
      </c>
      <c r="D14" s="8" t="s">
        <v>3</v>
      </c>
      <c r="E14" s="1"/>
    </row>
    <row r="15" spans="1:5" ht="15" customHeight="1" x14ac:dyDescent="0.25">
      <c r="A15" s="1"/>
      <c r="B15" s="41" t="s">
        <v>39</v>
      </c>
      <c r="C15" s="9">
        <f>-'Fane 4.2. Gen. krav - anlæg'!G31</f>
        <v>-1154121.6861531041</v>
      </c>
      <c r="D15" s="8" t="s">
        <v>3</v>
      </c>
      <c r="E15" s="1"/>
    </row>
    <row r="16" spans="1:5" ht="15" customHeight="1" x14ac:dyDescent="0.25">
      <c r="A16" s="1"/>
      <c r="B16" s="42" t="s">
        <v>28</v>
      </c>
      <c r="C16" s="10">
        <f>SUM(C9:C15)</f>
        <v>60088611.093622975</v>
      </c>
      <c r="D16" s="11" t="s">
        <v>3</v>
      </c>
      <c r="E16" s="1"/>
    </row>
    <row r="17" spans="1:5" x14ac:dyDescent="0.25">
      <c r="A17" s="1"/>
      <c r="B17" s="49" t="s">
        <v>17</v>
      </c>
      <c r="C17" s="50"/>
      <c r="D17" s="22"/>
      <c r="E17" s="1"/>
    </row>
    <row r="18" spans="1:5" ht="15" customHeight="1" x14ac:dyDescent="0.25">
      <c r="A18" s="1"/>
      <c r="B18" s="43" t="s">
        <v>17</v>
      </c>
      <c r="C18" s="10">
        <f>'Fane 6. Ikke-påvirkelige omk.'!C15*(1+'Fane 14. Nøgletal'!C12)</f>
        <v>31889950.017557621</v>
      </c>
      <c r="D18" s="11" t="s">
        <v>3</v>
      </c>
      <c r="E18" s="1"/>
    </row>
    <row r="19" spans="1:5" ht="15" customHeight="1" x14ac:dyDescent="0.25">
      <c r="A19" s="1"/>
      <c r="B19" s="49" t="s">
        <v>142</v>
      </c>
      <c r="C19" s="50"/>
      <c r="D19" s="22"/>
      <c r="E19" s="1"/>
    </row>
    <row r="20" spans="1:5" ht="15" customHeight="1" x14ac:dyDescent="0.25">
      <c r="A20" s="1"/>
      <c r="B20" s="32" t="s">
        <v>138</v>
      </c>
      <c r="C20" s="9">
        <f>'Fane 10.2. Engangstillæg'!C23</f>
        <v>0</v>
      </c>
      <c r="D20" s="8" t="s">
        <v>3</v>
      </c>
      <c r="E20" s="1"/>
    </row>
    <row r="21" spans="1:5" ht="15" customHeight="1" x14ac:dyDescent="0.25">
      <c r="A21" s="1"/>
      <c r="B21" s="32" t="s">
        <v>139</v>
      </c>
      <c r="C21" s="9">
        <f>'Fane 10.2. Engangstillæg'!E23</f>
        <v>0</v>
      </c>
      <c r="D21" s="8" t="s">
        <v>3</v>
      </c>
      <c r="E21" s="1"/>
    </row>
    <row r="22" spans="1:5" ht="15" customHeight="1" x14ac:dyDescent="0.25">
      <c r="A22" s="1"/>
      <c r="B22" s="53" t="s">
        <v>143</v>
      </c>
      <c r="C22" s="10">
        <f>SUM(C20:C21)</f>
        <v>0</v>
      </c>
      <c r="D22" s="11" t="s">
        <v>3</v>
      </c>
      <c r="E22" s="1"/>
    </row>
    <row r="23" spans="1:5" x14ac:dyDescent="0.25">
      <c r="A23" s="1"/>
      <c r="B23" s="49" t="s">
        <v>160</v>
      </c>
      <c r="C23" s="50"/>
      <c r="D23" s="22"/>
      <c r="E23" s="1"/>
    </row>
    <row r="24" spans="1:5" ht="15" customHeight="1" x14ac:dyDescent="0.25">
      <c r="A24" s="1"/>
      <c r="B24" s="43" t="s">
        <v>195</v>
      </c>
      <c r="C24" s="10">
        <f>'Fane 7. Kontrol af ØR2018'!E39</f>
        <v>0</v>
      </c>
      <c r="D24" s="11" t="s">
        <v>3</v>
      </c>
      <c r="E24" s="1"/>
    </row>
    <row r="25" spans="1:5" x14ac:dyDescent="0.25">
      <c r="A25" s="1"/>
      <c r="B25" s="49" t="s">
        <v>44</v>
      </c>
      <c r="C25" s="12">
        <f>SUM(C16,C18,C22,C24)</f>
        <v>91978561.111180604</v>
      </c>
      <c r="D25" s="13" t="s">
        <v>3</v>
      </c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occAZ/poKGMTQMUM34xFVKymItZIkLN+IC0YbZskoCMoyk1QHVPJMt09DqKJjT9vBVlch4S/L1CGog/cJrb+WQ==" saltValue="xzIBldX7a6SixULPlrkAA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28515625" style="2" customWidth="1"/>
    <col min="3" max="3" width="10.285156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5" t="s">
        <v>193</v>
      </c>
      <c r="C3" s="75"/>
      <c r="D3" s="75"/>
      <c r="E3" s="1"/>
    </row>
    <row r="4" spans="1:5" ht="15" customHeight="1" x14ac:dyDescent="0.25">
      <c r="A4" s="1"/>
      <c r="B4" s="75"/>
      <c r="C4" s="75"/>
      <c r="D4" s="75"/>
      <c r="E4" s="1"/>
    </row>
    <row r="5" spans="1:5" x14ac:dyDescent="0.25">
      <c r="A5" s="1"/>
      <c r="B5" s="76" t="s">
        <v>29</v>
      </c>
      <c r="C5" s="76"/>
      <c r="D5" s="76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49" t="s">
        <v>20</v>
      </c>
      <c r="C7" s="50"/>
      <c r="D7" s="22"/>
      <c r="E7" s="1"/>
    </row>
    <row r="8" spans="1:5" ht="15" customHeight="1" x14ac:dyDescent="0.25">
      <c r="A8" s="1"/>
      <c r="B8" s="48" t="s">
        <v>36</v>
      </c>
      <c r="C8" s="7">
        <f>'Fane 2.2. Økonomisk ramme 2021'!C16</f>
        <v>60088611.093622975</v>
      </c>
      <c r="D8" s="8" t="s">
        <v>3</v>
      </c>
      <c r="E8" s="1"/>
    </row>
    <row r="9" spans="1:5" ht="15" customHeight="1" x14ac:dyDescent="0.25">
      <c r="A9" s="1"/>
      <c r="B9" s="48" t="s">
        <v>41</v>
      </c>
      <c r="C9" s="7">
        <f>-'Fane 12. Bortfald'!C26</f>
        <v>0</v>
      </c>
      <c r="D9" s="8" t="s">
        <v>3</v>
      </c>
      <c r="E9" s="1"/>
    </row>
    <row r="10" spans="1:5" ht="15" customHeight="1" x14ac:dyDescent="0.25">
      <c r="A10" s="1"/>
      <c r="B10" s="48" t="s">
        <v>40</v>
      </c>
      <c r="C10" s="7">
        <f>-'Fane 12. Bortfald'!E26</f>
        <v>0</v>
      </c>
      <c r="D10" s="8" t="s">
        <v>3</v>
      </c>
      <c r="E10" s="1"/>
    </row>
    <row r="11" spans="1:5" ht="15" customHeight="1" x14ac:dyDescent="0.25">
      <c r="A11" s="1"/>
      <c r="B11" s="41" t="s">
        <v>26</v>
      </c>
      <c r="C11" s="9">
        <f>SUM(C8:C10)*'Fane 14. Nøgletal'!C12</f>
        <v>1183745.6385443725</v>
      </c>
      <c r="D11" s="8" t="s">
        <v>3</v>
      </c>
      <c r="E11" s="1"/>
    </row>
    <row r="12" spans="1:5" ht="15" customHeight="1" x14ac:dyDescent="0.25">
      <c r="A12" s="1"/>
      <c r="B12" s="41" t="s">
        <v>10</v>
      </c>
      <c r="C12" s="9">
        <f>-SUM(C8:C11)*'Fane 5. Individuelt eff. krav'!G10</f>
        <v>-1120571.3412767809</v>
      </c>
      <c r="D12" s="8" t="s">
        <v>3</v>
      </c>
      <c r="E12" s="1"/>
    </row>
    <row r="13" spans="1:5" ht="15" customHeight="1" x14ac:dyDescent="0.25">
      <c r="A13" s="1"/>
      <c r="B13" s="41" t="s">
        <v>38</v>
      </c>
      <c r="C13" s="9">
        <f>-'Fane 4.1. Gen. krav - drift'!G38</f>
        <v>-546061.79856422613</v>
      </c>
      <c r="D13" s="8" t="s">
        <v>3</v>
      </c>
      <c r="E13" s="1"/>
    </row>
    <row r="14" spans="1:5" ht="15" customHeight="1" x14ac:dyDescent="0.25">
      <c r="A14" s="1"/>
      <c r="B14" s="41" t="s">
        <v>39</v>
      </c>
      <c r="C14" s="9">
        <f>-'Fane 4.2. Gen. krav - anlæg'!G37</f>
        <v>-1143435.1194826032</v>
      </c>
      <c r="D14" s="8" t="s">
        <v>3</v>
      </c>
      <c r="E14" s="1"/>
    </row>
    <row r="15" spans="1:5" x14ac:dyDescent="0.25">
      <c r="A15" s="1"/>
      <c r="B15" s="42" t="s">
        <v>28</v>
      </c>
      <c r="C15" s="10">
        <f>SUM(C8:C14)</f>
        <v>58462288.472843736</v>
      </c>
      <c r="D15" s="11" t="s">
        <v>3</v>
      </c>
      <c r="E15" s="1"/>
    </row>
    <row r="16" spans="1:5" x14ac:dyDescent="0.25">
      <c r="A16" s="1"/>
      <c r="B16" s="49" t="s">
        <v>17</v>
      </c>
      <c r="C16" s="50"/>
      <c r="D16" s="22"/>
      <c r="E16" s="1"/>
    </row>
    <row r="17" spans="1:5" ht="15" customHeight="1" x14ac:dyDescent="0.25">
      <c r="A17" s="1"/>
      <c r="B17" s="43" t="s">
        <v>17</v>
      </c>
      <c r="C17" s="10">
        <f>'Fane 6. Ikke-påvirkelige omk.'!C15*(1+'Fane 14. Nøgletal'!C12)^2</f>
        <v>32518182.032903507</v>
      </c>
      <c r="D17" s="11" t="s">
        <v>3</v>
      </c>
      <c r="E17" s="1"/>
    </row>
    <row r="18" spans="1:5" ht="15" customHeight="1" x14ac:dyDescent="0.25">
      <c r="A18" s="1"/>
      <c r="B18" s="49" t="s">
        <v>142</v>
      </c>
      <c r="C18" s="50"/>
      <c r="D18" s="22"/>
      <c r="E18" s="1"/>
    </row>
    <row r="19" spans="1:5" ht="15" customHeight="1" x14ac:dyDescent="0.25">
      <c r="A19" s="1"/>
      <c r="B19" s="32" t="s">
        <v>138</v>
      </c>
      <c r="C19" s="9">
        <f>'Fane 10.2. Engangstillæg'!C31</f>
        <v>0</v>
      </c>
      <c r="D19" s="8" t="s">
        <v>3</v>
      </c>
      <c r="E19" s="1"/>
    </row>
    <row r="20" spans="1:5" ht="15" customHeight="1" x14ac:dyDescent="0.25">
      <c r="A20" s="1"/>
      <c r="B20" s="32" t="s">
        <v>139</v>
      </c>
      <c r="C20" s="9">
        <f>'Fane 10.2. Engangstillæg'!E31</f>
        <v>0</v>
      </c>
      <c r="D20" s="8" t="s">
        <v>3</v>
      </c>
      <c r="E20" s="1"/>
    </row>
    <row r="21" spans="1:5" ht="15" customHeight="1" x14ac:dyDescent="0.25">
      <c r="A21" s="1"/>
      <c r="B21" s="53" t="s">
        <v>143</v>
      </c>
      <c r="C21" s="10">
        <f>SUM(C19:C20)</f>
        <v>0</v>
      </c>
      <c r="D21" s="11" t="s">
        <v>3</v>
      </c>
      <c r="E21" s="1"/>
    </row>
    <row r="22" spans="1:5" ht="15" customHeight="1" x14ac:dyDescent="0.25">
      <c r="A22" s="1"/>
      <c r="B22" s="49" t="s">
        <v>160</v>
      </c>
      <c r="C22" s="50"/>
      <c r="D22" s="22"/>
      <c r="E22" s="1"/>
    </row>
    <row r="23" spans="1:5" ht="15" customHeight="1" x14ac:dyDescent="0.25">
      <c r="A23" s="1"/>
      <c r="B23" s="43" t="s">
        <v>195</v>
      </c>
      <c r="C23" s="10">
        <f>'Fane 2.2. Økonomisk ramme 2021'!C24</f>
        <v>0</v>
      </c>
      <c r="D23" s="11" t="s">
        <v>3</v>
      </c>
      <c r="E23" s="1"/>
    </row>
    <row r="24" spans="1:5" x14ac:dyDescent="0.25">
      <c r="A24" s="1"/>
      <c r="B24" s="49" t="s">
        <v>45</v>
      </c>
      <c r="C24" s="12">
        <f>SUM(C15,C17,C21,C23)</f>
        <v>90980470.505747244</v>
      </c>
      <c r="D24" s="13" t="s">
        <v>3</v>
      </c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ozPk1j3HvQLJ6e9N8en0KhfQuyzb0CFytmubGhnf+PCHpJ/prLVilZ0Y81yI1R3tq1WZTtYLTJVTMijseIaJNA==" saltValue="fK3gx1i044E5dh4lXYD1K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10.285156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5" t="s">
        <v>194</v>
      </c>
      <c r="C3" s="75"/>
      <c r="D3" s="75"/>
      <c r="E3" s="1"/>
    </row>
    <row r="4" spans="1:5" ht="15" customHeight="1" x14ac:dyDescent="0.25">
      <c r="A4" s="1"/>
      <c r="B4" s="75"/>
      <c r="C4" s="75"/>
      <c r="D4" s="75"/>
      <c r="E4" s="1"/>
    </row>
    <row r="5" spans="1:5" x14ac:dyDescent="0.25">
      <c r="A5" s="1"/>
      <c r="B5" s="76" t="s">
        <v>29</v>
      </c>
      <c r="C5" s="76"/>
      <c r="D5" s="76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49" t="s">
        <v>20</v>
      </c>
      <c r="C7" s="50"/>
      <c r="D7" s="22"/>
      <c r="E7" s="1"/>
    </row>
    <row r="8" spans="1:5" ht="15" customHeight="1" x14ac:dyDescent="0.25">
      <c r="A8" s="1"/>
      <c r="B8" s="48" t="s">
        <v>37</v>
      </c>
      <c r="C8" s="7">
        <f>'Fane 2.3. Økonomisk ramme 2022'!C15</f>
        <v>58462288.472843736</v>
      </c>
      <c r="D8" s="8" t="s">
        <v>3</v>
      </c>
      <c r="E8" s="1"/>
    </row>
    <row r="9" spans="1:5" ht="15" customHeight="1" x14ac:dyDescent="0.25">
      <c r="A9" s="1"/>
      <c r="B9" s="48" t="s">
        <v>41</v>
      </c>
      <c r="C9" s="7">
        <f>-'Fane 12. Bortfald'!C33</f>
        <v>0</v>
      </c>
      <c r="D9" s="8" t="s">
        <v>3</v>
      </c>
      <c r="E9" s="1"/>
    </row>
    <row r="10" spans="1:5" ht="15" customHeight="1" x14ac:dyDescent="0.25">
      <c r="A10" s="1"/>
      <c r="B10" s="48" t="s">
        <v>40</v>
      </c>
      <c r="C10" s="7">
        <f>-'Fane 12. Bortfald'!E33</f>
        <v>0</v>
      </c>
      <c r="D10" s="8" t="s">
        <v>3</v>
      </c>
      <c r="E10" s="1"/>
    </row>
    <row r="11" spans="1:5" ht="15" customHeight="1" x14ac:dyDescent="0.25">
      <c r="A11" s="1"/>
      <c r="B11" s="41" t="s">
        <v>26</v>
      </c>
      <c r="C11" s="9">
        <f>C8*'Fane 14. Nøgletal'!C12</f>
        <v>1151707.0829150216</v>
      </c>
      <c r="D11" s="8" t="s">
        <v>3</v>
      </c>
      <c r="E11" s="1"/>
    </row>
    <row r="12" spans="1:5" ht="15" customHeight="1" x14ac:dyDescent="0.25">
      <c r="A12" s="1"/>
      <c r="B12" s="41" t="s">
        <v>10</v>
      </c>
      <c r="C12" s="9">
        <f>-SUM(C8:C11)*'Fane 5. Individuelt eff. krav'!G10</f>
        <v>-1090242.6236155273</v>
      </c>
      <c r="D12" s="8" t="s">
        <v>3</v>
      </c>
      <c r="E12" s="1"/>
    </row>
    <row r="13" spans="1:5" ht="15" customHeight="1" x14ac:dyDescent="0.25">
      <c r="A13" s="1"/>
      <c r="B13" s="41" t="s">
        <v>38</v>
      </c>
      <c r="C13" s="9">
        <f>-'Fane 4.1. Gen. krav - drift'!G44</f>
        <v>-545682.83167602262</v>
      </c>
      <c r="D13" s="8" t="s">
        <v>3</v>
      </c>
      <c r="E13" s="1"/>
    </row>
    <row r="14" spans="1:5" ht="15" customHeight="1" x14ac:dyDescent="0.25">
      <c r="A14" s="1"/>
      <c r="B14" s="41" t="s">
        <v>39</v>
      </c>
      <c r="C14" s="9">
        <f>-'Fane 4.2. Gen. krav - anlæg'!G43</f>
        <v>-1132847.5048624563</v>
      </c>
      <c r="D14" s="8" t="s">
        <v>3</v>
      </c>
      <c r="E14" s="1"/>
    </row>
    <row r="15" spans="1:5" x14ac:dyDescent="0.25">
      <c r="A15" s="1"/>
      <c r="B15" s="42" t="s">
        <v>28</v>
      </c>
      <c r="C15" s="10">
        <f>SUM(C8:C14)</f>
        <v>56845222.595604755</v>
      </c>
      <c r="D15" s="11" t="s">
        <v>3</v>
      </c>
      <c r="E15" s="1"/>
    </row>
    <row r="16" spans="1:5" x14ac:dyDescent="0.25">
      <c r="A16" s="1"/>
      <c r="B16" s="49" t="s">
        <v>17</v>
      </c>
      <c r="C16" s="50"/>
      <c r="D16" s="22"/>
      <c r="E16" s="1"/>
    </row>
    <row r="17" spans="1:5" ht="15" customHeight="1" x14ac:dyDescent="0.25">
      <c r="A17" s="1"/>
      <c r="B17" s="43" t="s">
        <v>17</v>
      </c>
      <c r="C17" s="10">
        <f>'Fane 6. Ikke-påvirkelige omk.'!C15*(1+'Fane 14. Nøgletal'!C12)^3</f>
        <v>33158790.218951706</v>
      </c>
      <c r="D17" s="11" t="s">
        <v>3</v>
      </c>
      <c r="E17" s="1"/>
    </row>
    <row r="18" spans="1:5" ht="15" customHeight="1" x14ac:dyDescent="0.25">
      <c r="A18" s="1"/>
      <c r="B18" s="49" t="s">
        <v>142</v>
      </c>
      <c r="C18" s="50"/>
      <c r="D18" s="22"/>
      <c r="E18" s="1"/>
    </row>
    <row r="19" spans="1:5" ht="15" customHeight="1" x14ac:dyDescent="0.25">
      <c r="A19" s="1"/>
      <c r="B19" s="32" t="s">
        <v>138</v>
      </c>
      <c r="C19" s="9">
        <f>'Fane 10.2. Engangstillæg'!C39</f>
        <v>0</v>
      </c>
      <c r="D19" s="8" t="s">
        <v>3</v>
      </c>
      <c r="E19" s="1"/>
    </row>
    <row r="20" spans="1:5" ht="15" customHeight="1" x14ac:dyDescent="0.25">
      <c r="A20" s="1"/>
      <c r="B20" s="32" t="s">
        <v>139</v>
      </c>
      <c r="C20" s="9">
        <f>'Fane 10.2. Engangstillæg'!E39</f>
        <v>0</v>
      </c>
      <c r="D20" s="8" t="s">
        <v>3</v>
      </c>
      <c r="E20" s="1"/>
    </row>
    <row r="21" spans="1:5" ht="15" customHeight="1" x14ac:dyDescent="0.25">
      <c r="A21" s="1"/>
      <c r="B21" s="53" t="s">
        <v>143</v>
      </c>
      <c r="C21" s="10">
        <f>SUM(C19:C20)</f>
        <v>0</v>
      </c>
      <c r="D21" s="11" t="s">
        <v>3</v>
      </c>
      <c r="E21" s="1"/>
    </row>
    <row r="22" spans="1:5" x14ac:dyDescent="0.25">
      <c r="A22" s="1"/>
      <c r="B22" s="49" t="s">
        <v>154</v>
      </c>
      <c r="C22" s="12">
        <f>SUM(C15,C17,C21)</f>
        <v>90004012.814556465</v>
      </c>
      <c r="D22" s="13" t="s">
        <v>3</v>
      </c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/EEnlhL+FHT+Z9aV4UPlbQEqVsU/85G3iMsgtCKEDJ+XdllSb9TfEOzWygNgIKrbI11W+cj8Gewdb4MT53MXmg==" saltValue="PMGVjmGok603CZrNUZhc2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.42578125" style="2" customWidth="1"/>
    <col min="5" max="5" width="9.8554687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5" t="s">
        <v>221</v>
      </c>
      <c r="C3" s="85"/>
      <c r="D3" s="85"/>
      <c r="E3" s="85"/>
      <c r="F3" s="85"/>
      <c r="G3" s="1"/>
    </row>
    <row r="4" spans="1:7" ht="29.25" customHeight="1" x14ac:dyDescent="0.25">
      <c r="A4" s="1"/>
      <c r="B4" s="85"/>
      <c r="C4" s="85"/>
      <c r="D4" s="85"/>
      <c r="E4" s="85"/>
      <c r="F4" s="8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9" t="s">
        <v>84</v>
      </c>
      <c r="C8" s="50"/>
      <c r="D8" s="50"/>
      <c r="E8" s="50"/>
      <c r="F8" s="22"/>
      <c r="G8" s="1"/>
    </row>
    <row r="9" spans="1:7" x14ac:dyDescent="0.25">
      <c r="A9" s="1"/>
      <c r="B9" s="86" t="s">
        <v>81</v>
      </c>
      <c r="C9" s="87"/>
      <c r="D9" s="88"/>
      <c r="E9" s="7">
        <v>60946532.381380767</v>
      </c>
      <c r="F9" s="8" t="s">
        <v>3</v>
      </c>
      <c r="G9" s="1"/>
    </row>
    <row r="10" spans="1:7" x14ac:dyDescent="0.25">
      <c r="A10" s="1"/>
      <c r="B10" s="86" t="s">
        <v>82</v>
      </c>
      <c r="C10" s="87"/>
      <c r="D10" s="88"/>
      <c r="E10" s="7">
        <v>-666835.86736390099</v>
      </c>
      <c r="F10" s="8" t="s">
        <v>3</v>
      </c>
      <c r="G10" s="1"/>
    </row>
    <row r="11" spans="1:7" x14ac:dyDescent="0.25">
      <c r="A11" s="1"/>
      <c r="B11" s="86" t="s">
        <v>83</v>
      </c>
      <c r="C11" s="87"/>
      <c r="D11" s="88"/>
      <c r="E11" s="7">
        <v>1347979.3503400313</v>
      </c>
      <c r="F11" s="8" t="s">
        <v>3</v>
      </c>
      <c r="G11" s="1"/>
    </row>
    <row r="12" spans="1:7" x14ac:dyDescent="0.25">
      <c r="A12" s="1"/>
      <c r="B12" s="77" t="s">
        <v>67</v>
      </c>
      <c r="C12" s="78"/>
      <c r="D12" s="79"/>
      <c r="E12" s="7">
        <v>0</v>
      </c>
      <c r="F12" s="8" t="s">
        <v>3</v>
      </c>
      <c r="G12" s="1"/>
    </row>
    <row r="13" spans="1:7" x14ac:dyDescent="0.25">
      <c r="A13" s="1"/>
      <c r="B13" s="77" t="s">
        <v>68</v>
      </c>
      <c r="C13" s="78"/>
      <c r="D13" s="79"/>
      <c r="E13" s="9">
        <v>219996.14599999998</v>
      </c>
      <c r="F13" s="8" t="s">
        <v>3</v>
      </c>
      <c r="G13" s="1"/>
    </row>
    <row r="14" spans="1:7" x14ac:dyDescent="0.25">
      <c r="A14" s="1"/>
      <c r="B14" s="77" t="s">
        <v>41</v>
      </c>
      <c r="C14" s="78"/>
      <c r="D14" s="79"/>
      <c r="E14" s="9">
        <v>0</v>
      </c>
      <c r="F14" s="8" t="s">
        <v>3</v>
      </c>
      <c r="G14" s="1"/>
    </row>
    <row r="15" spans="1:7" x14ac:dyDescent="0.25">
      <c r="A15" s="1"/>
      <c r="B15" s="77" t="s">
        <v>40</v>
      </c>
      <c r="C15" s="78"/>
      <c r="D15" s="79"/>
      <c r="E15" s="9">
        <v>0</v>
      </c>
      <c r="F15" s="8" t="s">
        <v>3</v>
      </c>
      <c r="G15" s="1"/>
    </row>
    <row r="16" spans="1:7" x14ac:dyDescent="0.25">
      <c r="A16" s="1"/>
      <c r="B16" s="77" t="s">
        <v>43</v>
      </c>
      <c r="C16" s="78"/>
      <c r="D16" s="79"/>
      <c r="E16" s="9">
        <v>0</v>
      </c>
      <c r="F16" s="8" t="s">
        <v>3</v>
      </c>
      <c r="G16" s="1"/>
    </row>
    <row r="17" spans="1:7" x14ac:dyDescent="0.25">
      <c r="A17" s="1"/>
      <c r="B17" s="77" t="s">
        <v>42</v>
      </c>
      <c r="C17" s="78"/>
      <c r="D17" s="79"/>
      <c r="E17" s="9">
        <v>0</v>
      </c>
      <c r="F17" s="8" t="s">
        <v>3</v>
      </c>
      <c r="G17" s="1"/>
    </row>
    <row r="18" spans="1:7" x14ac:dyDescent="0.25">
      <c r="A18" s="1"/>
      <c r="B18" s="77" t="s">
        <v>26</v>
      </c>
      <c r="C18" s="78"/>
      <c r="D18" s="79"/>
      <c r="E18" s="9">
        <f>SUM(E9:E17)*'Fane 14. Nøgletal'!C11</f>
        <v>1045225.6569750315</v>
      </c>
      <c r="F18" s="8" t="s">
        <v>3</v>
      </c>
      <c r="G18" s="1"/>
    </row>
    <row r="19" spans="1:7" x14ac:dyDescent="0.25">
      <c r="A19" s="1"/>
      <c r="B19" s="77" t="s">
        <v>10</v>
      </c>
      <c r="C19" s="78"/>
      <c r="D19" s="79"/>
      <c r="E19" s="9">
        <f>-SUM(E9:E18)*'Fane 5. Individuelt eff. krav'!G10</f>
        <v>-1150208.3884895896</v>
      </c>
      <c r="F19" s="8" t="s">
        <v>3</v>
      </c>
      <c r="G19" s="1"/>
    </row>
    <row r="20" spans="1:7" x14ac:dyDescent="0.25">
      <c r="A20" s="1"/>
      <c r="B20" s="77" t="s">
        <v>38</v>
      </c>
      <c r="C20" s="78"/>
      <c r="D20" s="79"/>
      <c r="E20" s="9">
        <f>-'Fane 4.1. Gen. krav - drift'!G20</f>
        <v>-519074.78670894139</v>
      </c>
      <c r="F20" s="8" t="s">
        <v>3</v>
      </c>
      <c r="G20" s="1"/>
    </row>
    <row r="21" spans="1:7" x14ac:dyDescent="0.25">
      <c r="A21" s="1"/>
      <c r="B21" s="77" t="s">
        <v>39</v>
      </c>
      <c r="C21" s="78"/>
      <c r="D21" s="79"/>
      <c r="E21" s="9">
        <f>-'Fane 4.2. Gen. krav - anlæg'!G19</f>
        <v>-343499.62025147962</v>
      </c>
      <c r="F21" s="8" t="s">
        <v>3</v>
      </c>
      <c r="G21" s="1"/>
    </row>
    <row r="22" spans="1:7" x14ac:dyDescent="0.25">
      <c r="A22" s="1"/>
      <c r="B22" s="92" t="s">
        <v>28</v>
      </c>
      <c r="C22" s="93"/>
      <c r="D22" s="94"/>
      <c r="E22" s="10">
        <f>SUM(E9:E21)</f>
        <v>60880114.871881917</v>
      </c>
      <c r="F22" s="11" t="s">
        <v>3</v>
      </c>
      <c r="G22" s="1"/>
    </row>
    <row r="23" spans="1:7" x14ac:dyDescent="0.25">
      <c r="A23" s="1"/>
      <c r="B23" s="80" t="s">
        <v>17</v>
      </c>
      <c r="C23" s="81"/>
      <c r="D23" s="81"/>
      <c r="E23" s="50"/>
      <c r="F23" s="22"/>
      <c r="G23" s="1"/>
    </row>
    <row r="24" spans="1:7" x14ac:dyDescent="0.25">
      <c r="A24" s="1"/>
      <c r="B24" s="82" t="s">
        <v>17</v>
      </c>
      <c r="C24" s="83"/>
      <c r="D24" s="84"/>
      <c r="E24" s="10">
        <v>30059230.691093754</v>
      </c>
      <c r="F24" s="11" t="s">
        <v>3</v>
      </c>
      <c r="G24" s="1"/>
    </row>
    <row r="25" spans="1:7" x14ac:dyDescent="0.25">
      <c r="A25" s="1"/>
      <c r="B25" s="49" t="s">
        <v>130</v>
      </c>
      <c r="C25" s="50"/>
      <c r="D25" s="50"/>
      <c r="E25" s="50"/>
      <c r="F25" s="22"/>
      <c r="G25" s="1"/>
    </row>
    <row r="26" spans="1:7" ht="27" customHeight="1" x14ac:dyDescent="0.25">
      <c r="A26" s="1"/>
      <c r="B26" s="95" t="s">
        <v>132</v>
      </c>
      <c r="C26" s="96"/>
      <c r="D26" s="97"/>
      <c r="E26" s="10">
        <v>161579.96811949191</v>
      </c>
      <c r="F26" s="11" t="s">
        <v>3</v>
      </c>
      <c r="G26" s="1"/>
    </row>
    <row r="27" spans="1:7" x14ac:dyDescent="0.25">
      <c r="A27" s="1"/>
      <c r="B27" s="49" t="s">
        <v>11</v>
      </c>
      <c r="C27" s="50"/>
      <c r="D27" s="50"/>
      <c r="E27" s="50"/>
      <c r="F27" s="22"/>
      <c r="G27" s="1"/>
    </row>
    <row r="28" spans="1:7" x14ac:dyDescent="0.25">
      <c r="A28" s="1"/>
      <c r="B28" s="82" t="s">
        <v>19</v>
      </c>
      <c r="C28" s="83"/>
      <c r="D28" s="84"/>
      <c r="E28" s="10">
        <v>0</v>
      </c>
      <c r="F28" s="11" t="s">
        <v>3</v>
      </c>
      <c r="G28" s="1"/>
    </row>
    <row r="29" spans="1:7" x14ac:dyDescent="0.25">
      <c r="A29" s="1"/>
      <c r="B29" s="49" t="s">
        <v>160</v>
      </c>
      <c r="C29" s="50"/>
      <c r="D29" s="50"/>
      <c r="E29" s="50"/>
      <c r="F29" s="22"/>
      <c r="G29" s="1"/>
    </row>
    <row r="30" spans="1:7" x14ac:dyDescent="0.25">
      <c r="A30" s="1"/>
      <c r="B30" s="82" t="s">
        <v>131</v>
      </c>
      <c r="C30" s="83"/>
      <c r="D30" s="84"/>
      <c r="E30" s="10">
        <v>3634447.5001556263</v>
      </c>
      <c r="F30" s="11" t="s">
        <v>3</v>
      </c>
      <c r="G30" s="1"/>
    </row>
    <row r="31" spans="1:7" x14ac:dyDescent="0.25">
      <c r="A31" s="1"/>
      <c r="B31" s="49" t="s">
        <v>23</v>
      </c>
      <c r="C31" s="50"/>
      <c r="D31" s="50"/>
      <c r="E31" s="12">
        <f>SUM(E28,E26,E24,E22,E30)</f>
        <v>94735373.03125079</v>
      </c>
      <c r="F31" s="13" t="s">
        <v>3</v>
      </c>
      <c r="G31" s="1"/>
    </row>
    <row r="32" spans="1:7" ht="28.15" customHeight="1" x14ac:dyDescent="0.25">
      <c r="A32" s="1"/>
      <c r="B32" s="89" t="s">
        <v>189</v>
      </c>
      <c r="C32" s="90"/>
      <c r="D32" s="90"/>
      <c r="E32" s="90"/>
      <c r="F32" s="9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zAl3M5babQS90rQKOAVqg/5tRWu+SEVieVanOM05+NEdUw/+KAeiE/HKjo23SCIP8+Xw6xeOgwjO+I+I1hGAJA==" saltValue="QBgGrkVe3BlAvpMYZu/TnQ==" spinCount="100000" sheet="1" objects="1" scenarios="1"/>
  <mergeCells count="21">
    <mergeCell ref="B32:F32"/>
    <mergeCell ref="B18:D18"/>
    <mergeCell ref="B19:D19"/>
    <mergeCell ref="B20:D20"/>
    <mergeCell ref="B21:D21"/>
    <mergeCell ref="B22:D22"/>
    <mergeCell ref="B30:D30"/>
    <mergeCell ref="B26:D26"/>
    <mergeCell ref="B28:D28"/>
    <mergeCell ref="B3:F4"/>
    <mergeCell ref="B9:D9"/>
    <mergeCell ref="B12:D12"/>
    <mergeCell ref="B13:D13"/>
    <mergeCell ref="B14:D14"/>
    <mergeCell ref="B10:D10"/>
    <mergeCell ref="B11:D11"/>
    <mergeCell ref="B15:D15"/>
    <mergeCell ref="B16:D16"/>
    <mergeCell ref="B17:D17"/>
    <mergeCell ref="B23:D23"/>
    <mergeCell ref="B24:D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75" t="s">
        <v>202</v>
      </c>
      <c r="C2" s="75"/>
      <c r="D2" s="75"/>
      <c r="E2" s="75"/>
      <c r="F2" s="75"/>
      <c r="G2" s="75"/>
      <c r="H2" s="75"/>
      <c r="I2" s="1"/>
    </row>
    <row r="3" spans="1:9" ht="15" customHeight="1" x14ac:dyDescent="0.25">
      <c r="A3" s="1"/>
      <c r="B3" s="75"/>
      <c r="C3" s="75"/>
      <c r="D3" s="75"/>
      <c r="E3" s="75"/>
      <c r="F3" s="75"/>
      <c r="G3" s="75"/>
      <c r="H3" s="75"/>
      <c r="I3" s="1"/>
    </row>
    <row r="4" spans="1:9" ht="15" customHeight="1" x14ac:dyDescent="0.25">
      <c r="A4" s="1"/>
      <c r="B4" s="75"/>
      <c r="C4" s="75"/>
      <c r="D4" s="75"/>
      <c r="E4" s="75"/>
      <c r="F4" s="75"/>
      <c r="G4" s="75"/>
      <c r="H4" s="75"/>
      <c r="I4" s="1"/>
    </row>
    <row r="5" spans="1:9" x14ac:dyDescent="0.25">
      <c r="A5" s="1"/>
      <c r="B5" s="98" t="s">
        <v>97</v>
      </c>
      <c r="C5" s="99"/>
      <c r="D5" s="99"/>
      <c r="E5" s="99"/>
      <c r="F5" s="99"/>
      <c r="G5" s="99"/>
      <c r="H5" s="100"/>
      <c r="I5" s="1"/>
    </row>
    <row r="6" spans="1:9" x14ac:dyDescent="0.25">
      <c r="A6" s="1"/>
      <c r="B6" s="101" t="s">
        <v>86</v>
      </c>
      <c r="C6" s="102"/>
      <c r="D6" s="102"/>
      <c r="E6" s="102"/>
      <c r="F6" s="103"/>
      <c r="G6" s="26">
        <v>26927128.40936387</v>
      </c>
      <c r="H6" s="14" t="s">
        <v>3</v>
      </c>
      <c r="I6" s="1"/>
    </row>
    <row r="7" spans="1:9" x14ac:dyDescent="0.25">
      <c r="A7" s="1"/>
      <c r="B7" s="101" t="s">
        <v>87</v>
      </c>
      <c r="C7" s="102"/>
      <c r="D7" s="102"/>
      <c r="E7" s="102"/>
      <c r="F7" s="103"/>
      <c r="G7" s="26">
        <f>G6*'Fane 14. Nøgletal'!C25</f>
        <v>538542.56818727741</v>
      </c>
      <c r="H7" s="14" t="s">
        <v>3</v>
      </c>
      <c r="I7" s="1"/>
    </row>
    <row r="8" spans="1:9" x14ac:dyDescent="0.25">
      <c r="A8" s="1"/>
      <c r="B8" s="49"/>
      <c r="C8" s="50"/>
      <c r="D8" s="50"/>
      <c r="E8" s="50"/>
      <c r="F8" s="50"/>
      <c r="G8" s="50"/>
      <c r="H8" s="22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98" t="s">
        <v>98</v>
      </c>
      <c r="C10" s="99"/>
      <c r="D10" s="99"/>
      <c r="E10" s="99"/>
      <c r="F10" s="99"/>
      <c r="G10" s="99"/>
      <c r="H10" s="100"/>
      <c r="I10" s="1"/>
    </row>
    <row r="11" spans="1:9" x14ac:dyDescent="0.25">
      <c r="A11" s="1"/>
      <c r="B11" s="101" t="s">
        <v>88</v>
      </c>
      <c r="C11" s="102"/>
      <c r="D11" s="102"/>
      <c r="E11" s="102"/>
      <c r="F11" s="103"/>
      <c r="G11" s="26">
        <f>(G6-G7)*(1+'Fane 14. Nøgletal'!C9)</f>
        <v>26723720.881359532</v>
      </c>
      <c r="H11" s="14" t="s">
        <v>3</v>
      </c>
      <c r="I11" s="1"/>
    </row>
    <row r="12" spans="1:9" x14ac:dyDescent="0.25">
      <c r="A12" s="1"/>
      <c r="B12" s="104" t="s">
        <v>89</v>
      </c>
      <c r="C12" s="105"/>
      <c r="D12" s="105"/>
      <c r="E12" s="105"/>
      <c r="F12" s="106"/>
      <c r="G12" s="26">
        <v>0</v>
      </c>
      <c r="H12" s="14" t="s">
        <v>3</v>
      </c>
      <c r="I12" s="1"/>
    </row>
    <row r="13" spans="1:9" x14ac:dyDescent="0.25">
      <c r="A13" s="1"/>
      <c r="B13" s="101" t="s">
        <v>90</v>
      </c>
      <c r="C13" s="102"/>
      <c r="D13" s="102"/>
      <c r="E13" s="102"/>
      <c r="F13" s="103"/>
      <c r="G13" s="26">
        <f>(G11+G12)*'Fane 14. Nøgletal'!C25</f>
        <v>534474.41762719071</v>
      </c>
      <c r="H13" s="14" t="s">
        <v>3</v>
      </c>
      <c r="I13" s="1"/>
    </row>
    <row r="14" spans="1:9" x14ac:dyDescent="0.25">
      <c r="A14" s="1"/>
      <c r="B14" s="49"/>
      <c r="C14" s="50"/>
      <c r="D14" s="50"/>
      <c r="E14" s="50"/>
      <c r="F14" s="50"/>
      <c r="G14" s="50"/>
      <c r="H14" s="2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98" t="s">
        <v>99</v>
      </c>
      <c r="C16" s="99"/>
      <c r="D16" s="99"/>
      <c r="E16" s="99"/>
      <c r="F16" s="99"/>
      <c r="G16" s="99"/>
      <c r="H16" s="100"/>
      <c r="I16" s="1"/>
    </row>
    <row r="17" spans="1:9" x14ac:dyDescent="0.25">
      <c r="A17" s="1"/>
      <c r="B17" s="101" t="s">
        <v>91</v>
      </c>
      <c r="C17" s="102"/>
      <c r="D17" s="102"/>
      <c r="E17" s="102"/>
      <c r="F17" s="103"/>
      <c r="G17" s="26">
        <f>(G13/'Fane 14. Nøgletal'!C25-G13)*(1+'Fane 14. Nøgletal'!C11)</f>
        <v>26631844.728969421</v>
      </c>
      <c r="H17" s="14" t="s">
        <v>3</v>
      </c>
      <c r="I17" s="1"/>
    </row>
    <row r="18" spans="1:9" x14ac:dyDescent="0.25">
      <c r="A18" s="1"/>
      <c r="B18" s="101" t="s">
        <v>222</v>
      </c>
      <c r="C18" s="102"/>
      <c r="D18" s="102"/>
      <c r="E18" s="102"/>
      <c r="F18" s="103"/>
      <c r="G18" s="26">
        <v>-678105.39352235082</v>
      </c>
      <c r="H18" s="14" t="s">
        <v>3</v>
      </c>
      <c r="I18" s="1"/>
    </row>
    <row r="19" spans="1:9" x14ac:dyDescent="0.25">
      <c r="A19" s="1"/>
      <c r="B19" s="104" t="s">
        <v>92</v>
      </c>
      <c r="C19" s="105"/>
      <c r="D19" s="105"/>
      <c r="E19" s="105"/>
      <c r="F19" s="106"/>
      <c r="G19" s="26">
        <v>0</v>
      </c>
      <c r="H19" s="14" t="s">
        <v>3</v>
      </c>
      <c r="I19" s="1"/>
    </row>
    <row r="20" spans="1:9" x14ac:dyDescent="0.25">
      <c r="A20" s="1"/>
      <c r="B20" s="101" t="s">
        <v>93</v>
      </c>
      <c r="C20" s="102"/>
      <c r="D20" s="102"/>
      <c r="E20" s="102"/>
      <c r="F20" s="103"/>
      <c r="G20" s="26">
        <f>SUM(G17:G19)*'Fane 14. Nøgletal'!C25</f>
        <v>519074.78670894139</v>
      </c>
      <c r="H20" s="14" t="s">
        <v>3</v>
      </c>
      <c r="I20" s="1"/>
    </row>
    <row r="21" spans="1:9" x14ac:dyDescent="0.25">
      <c r="A21" s="1"/>
      <c r="B21" s="49"/>
      <c r="C21" s="50"/>
      <c r="D21" s="50"/>
      <c r="E21" s="50"/>
      <c r="F21" s="50"/>
      <c r="G21" s="50"/>
      <c r="H21" s="22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98" t="s">
        <v>100</v>
      </c>
      <c r="C23" s="99"/>
      <c r="D23" s="99"/>
      <c r="E23" s="99"/>
      <c r="F23" s="99"/>
      <c r="G23" s="99"/>
      <c r="H23" s="100"/>
      <c r="I23" s="1"/>
    </row>
    <row r="24" spans="1:9" x14ac:dyDescent="0.25">
      <c r="A24" s="1"/>
      <c r="B24" s="101" t="s">
        <v>94</v>
      </c>
      <c r="C24" s="102"/>
      <c r="D24" s="102"/>
      <c r="E24" s="102"/>
      <c r="F24" s="103"/>
      <c r="G24" s="26">
        <f>(SUM(G17:G19)-G20)*(1+'Fane 14. Nøgletal'!C11)</f>
        <v>25864510.379611801</v>
      </c>
      <c r="H24" s="14" t="s">
        <v>3</v>
      </c>
      <c r="I24" s="1"/>
    </row>
    <row r="25" spans="1:9" x14ac:dyDescent="0.25">
      <c r="A25" s="1"/>
      <c r="B25" s="104" t="s">
        <v>95</v>
      </c>
      <c r="C25" s="105"/>
      <c r="D25" s="105"/>
      <c r="E25" s="105"/>
      <c r="F25" s="106"/>
      <c r="G25" s="26">
        <f>('Fane 2.1. Økonomisk ramme 2020'!C10+'Fane 2.1. Økonomisk ramme 2020'!C12+'Fane 2.1. Økonomisk ramme 2020'!C14)*(1+'Fane 14. Nøgletal'!C12)</f>
        <v>1476515.7244094401</v>
      </c>
      <c r="H25" s="14" t="s">
        <v>3</v>
      </c>
      <c r="I25" s="1"/>
    </row>
    <row r="26" spans="1:9" x14ac:dyDescent="0.25">
      <c r="A26" s="1"/>
      <c r="B26" s="101" t="s">
        <v>96</v>
      </c>
      <c r="C26" s="102"/>
      <c r="D26" s="102"/>
      <c r="E26" s="102"/>
      <c r="F26" s="103"/>
      <c r="G26" s="26">
        <f>(G24+G25)*'Fane 14. Nøgletal'!C25</f>
        <v>546820.52208042482</v>
      </c>
      <c r="H26" s="14" t="s">
        <v>3</v>
      </c>
      <c r="I26" s="1"/>
    </row>
    <row r="27" spans="1:9" x14ac:dyDescent="0.25">
      <c r="A27" s="1"/>
      <c r="B27" s="49"/>
      <c r="C27" s="50"/>
      <c r="D27" s="50"/>
      <c r="E27" s="50"/>
      <c r="F27" s="50"/>
      <c r="G27" s="50"/>
      <c r="H27" s="22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98" t="s">
        <v>191</v>
      </c>
      <c r="C29" s="99"/>
      <c r="D29" s="99"/>
      <c r="E29" s="99"/>
      <c r="F29" s="99"/>
      <c r="G29" s="99"/>
      <c r="H29" s="100"/>
      <c r="I29" s="1"/>
    </row>
    <row r="30" spans="1:9" x14ac:dyDescent="0.25">
      <c r="A30" s="1"/>
      <c r="B30" s="101" t="s">
        <v>103</v>
      </c>
      <c r="C30" s="102"/>
      <c r="D30" s="102"/>
      <c r="E30" s="102"/>
      <c r="F30" s="103"/>
      <c r="G30" s="26">
        <f>(G24+G25-G26)*(1+'Fane 14. Nøgletal'!C12)</f>
        <v>27322051.43190505</v>
      </c>
      <c r="H30" s="14" t="s">
        <v>3</v>
      </c>
      <c r="I30" s="1"/>
    </row>
    <row r="31" spans="1:9" x14ac:dyDescent="0.25">
      <c r="A31" s="1"/>
      <c r="B31" s="101" t="s">
        <v>145</v>
      </c>
      <c r="C31" s="102"/>
      <c r="D31" s="102"/>
      <c r="E31" s="102"/>
      <c r="F31" s="103"/>
      <c r="G31" s="26">
        <f>-'Fane 12. Bortfald'!C19*(1+'Fane 14. Nøgletal'!C12)</f>
        <v>0</v>
      </c>
      <c r="H31" s="14" t="s">
        <v>3</v>
      </c>
      <c r="I31" s="1"/>
    </row>
    <row r="32" spans="1:9" x14ac:dyDescent="0.25">
      <c r="A32" s="1"/>
      <c r="B32" s="101" t="s">
        <v>220</v>
      </c>
      <c r="C32" s="102"/>
      <c r="D32" s="102"/>
      <c r="E32" s="102"/>
      <c r="F32" s="103"/>
      <c r="G32" s="26">
        <f>(G30+G31)*'Fane 14. Nøgletal'!C25</f>
        <v>546441.02863810095</v>
      </c>
      <c r="H32" s="14" t="s">
        <v>3</v>
      </c>
      <c r="I32" s="1"/>
    </row>
    <row r="33" spans="1:9" x14ac:dyDescent="0.25">
      <c r="A33" s="1"/>
      <c r="B33" s="49"/>
      <c r="C33" s="50"/>
      <c r="D33" s="50"/>
      <c r="E33" s="50"/>
      <c r="F33" s="50"/>
      <c r="G33" s="50"/>
      <c r="H33" s="22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98" t="s">
        <v>126</v>
      </c>
      <c r="C35" s="99"/>
      <c r="D35" s="99"/>
      <c r="E35" s="99"/>
      <c r="F35" s="99"/>
      <c r="G35" s="99"/>
      <c r="H35" s="100"/>
      <c r="I35" s="1"/>
    </row>
    <row r="36" spans="1:9" x14ac:dyDescent="0.25">
      <c r="A36" s="1"/>
      <c r="B36" s="101" t="s">
        <v>125</v>
      </c>
      <c r="C36" s="102"/>
      <c r="D36" s="102"/>
      <c r="E36" s="102"/>
      <c r="F36" s="103"/>
      <c r="G36" s="26">
        <f>(G30-G32)*(1+'Fane 14. Nøgletal'!C12)</f>
        <v>27303089.928211309</v>
      </c>
      <c r="H36" s="14" t="s">
        <v>3</v>
      </c>
      <c r="I36" s="1"/>
    </row>
    <row r="37" spans="1:9" x14ac:dyDescent="0.25">
      <c r="A37" s="1"/>
      <c r="B37" s="101" t="s">
        <v>146</v>
      </c>
      <c r="C37" s="102"/>
      <c r="D37" s="102"/>
      <c r="E37" s="102"/>
      <c r="F37" s="103"/>
      <c r="G37" s="26">
        <f>-'Fane 12. Bortfald'!C26*(1+'Fane 14. Nøgletal'!C12)</f>
        <v>0</v>
      </c>
      <c r="H37" s="14" t="s">
        <v>3</v>
      </c>
      <c r="I37" s="1"/>
    </row>
    <row r="38" spans="1:9" x14ac:dyDescent="0.25">
      <c r="A38" s="1"/>
      <c r="B38" s="101" t="s">
        <v>104</v>
      </c>
      <c r="C38" s="102"/>
      <c r="D38" s="102"/>
      <c r="E38" s="102"/>
      <c r="F38" s="103"/>
      <c r="G38" s="26">
        <f>(G36+G37)*'Fane 14. Nøgletal'!C25</f>
        <v>546061.79856422613</v>
      </c>
      <c r="H38" s="14" t="s">
        <v>3</v>
      </c>
      <c r="I38" s="1"/>
    </row>
    <row r="39" spans="1:9" x14ac:dyDescent="0.25">
      <c r="A39" s="1"/>
      <c r="B39" s="49"/>
      <c r="C39" s="50"/>
      <c r="D39" s="50"/>
      <c r="E39" s="50"/>
      <c r="F39" s="50"/>
      <c r="G39" s="50"/>
      <c r="H39" s="22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98" t="s">
        <v>127</v>
      </c>
      <c r="C41" s="99"/>
      <c r="D41" s="99"/>
      <c r="E41" s="99"/>
      <c r="F41" s="99"/>
      <c r="G41" s="99"/>
      <c r="H41" s="100"/>
      <c r="I41" s="1"/>
    </row>
    <row r="42" spans="1:9" x14ac:dyDescent="0.25">
      <c r="A42" s="1"/>
      <c r="B42" s="101" t="s">
        <v>124</v>
      </c>
      <c r="C42" s="102"/>
      <c r="D42" s="102"/>
      <c r="E42" s="102"/>
      <c r="F42" s="103"/>
      <c r="G42" s="26">
        <f>(G36-G38)*(1+'Fane 14. Nøgletal'!C12)</f>
        <v>27284141.583801132</v>
      </c>
      <c r="H42" s="14" t="s">
        <v>3</v>
      </c>
      <c r="I42" s="1"/>
    </row>
    <row r="43" spans="1:9" x14ac:dyDescent="0.25">
      <c r="A43" s="1"/>
      <c r="B43" s="101" t="s">
        <v>147</v>
      </c>
      <c r="C43" s="102"/>
      <c r="D43" s="102"/>
      <c r="E43" s="102"/>
      <c r="F43" s="103"/>
      <c r="G43" s="26">
        <f>-'Fane 12. Bortfald'!C33*(1+'Fane 14. Nøgletal'!C12)</f>
        <v>0</v>
      </c>
      <c r="H43" s="14" t="s">
        <v>3</v>
      </c>
      <c r="I43" s="1"/>
    </row>
    <row r="44" spans="1:9" x14ac:dyDescent="0.25">
      <c r="A44" s="1"/>
      <c r="B44" s="101" t="s">
        <v>105</v>
      </c>
      <c r="C44" s="102"/>
      <c r="D44" s="102"/>
      <c r="E44" s="102"/>
      <c r="F44" s="103"/>
      <c r="G44" s="26">
        <f>(G42+G43)*'Fane 14. Nøgletal'!C25</f>
        <v>545682.83167602262</v>
      </c>
      <c r="H44" s="14" t="s">
        <v>3</v>
      </c>
      <c r="I44" s="1"/>
    </row>
    <row r="45" spans="1:9" x14ac:dyDescent="0.25">
      <c r="A45" s="1"/>
      <c r="B45" s="49"/>
      <c r="C45" s="50"/>
      <c r="D45" s="50"/>
      <c r="E45" s="50"/>
      <c r="F45" s="50"/>
      <c r="G45" s="50"/>
      <c r="H45" s="22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k6tWVhRNwwKyrND1FjB0yJPbqWCwonQOtvxPpPFY47kzJozPRj5D06jGAifwmNUaXVCNsiUDP3FLSFNfT7KZlQ==" saltValue="XTZtcHqXZlHe6ZGlSW/++Q==" spinCount="100000" sheet="1" objects="1" scenarios="1"/>
  <mergeCells count="29">
    <mergeCell ref="B2:H4"/>
    <mergeCell ref="B5:H5"/>
    <mergeCell ref="B6:F6"/>
    <mergeCell ref="B7:F7"/>
    <mergeCell ref="B11:F11"/>
    <mergeCell ref="B10:H10"/>
    <mergeCell ref="B41:H41"/>
    <mergeCell ref="B42:F42"/>
    <mergeCell ref="B44:F44"/>
    <mergeCell ref="B37:F37"/>
    <mergeCell ref="B43:F43"/>
    <mergeCell ref="B16:H16"/>
    <mergeCell ref="B23:H23"/>
    <mergeCell ref="B12:F12"/>
    <mergeCell ref="B13:F13"/>
    <mergeCell ref="B17:F17"/>
    <mergeCell ref="B19:F19"/>
    <mergeCell ref="B18:F18"/>
    <mergeCell ref="B29:H29"/>
    <mergeCell ref="B30:F30"/>
    <mergeCell ref="B35:H35"/>
    <mergeCell ref="B38:F38"/>
    <mergeCell ref="B20:F20"/>
    <mergeCell ref="B24:F24"/>
    <mergeCell ref="B25:F25"/>
    <mergeCell ref="B26:F26"/>
    <mergeCell ref="B36:F36"/>
    <mergeCell ref="B31:F31"/>
    <mergeCell ref="B32:F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1"/>
      <c r="B2" s="107" t="s">
        <v>203</v>
      </c>
      <c r="C2" s="107"/>
      <c r="D2" s="107"/>
      <c r="E2" s="107"/>
      <c r="F2" s="107"/>
      <c r="G2" s="107"/>
      <c r="H2" s="107"/>
      <c r="I2" s="1"/>
    </row>
    <row r="3" spans="1:9" ht="18.75" x14ac:dyDescent="0.3">
      <c r="A3" s="1"/>
      <c r="B3" s="52"/>
      <c r="C3" s="52"/>
      <c r="D3" s="52"/>
      <c r="E3" s="52"/>
      <c r="F3" s="52"/>
      <c r="G3" s="52"/>
      <c r="H3" s="52"/>
      <c r="I3" s="1"/>
    </row>
    <row r="4" spans="1:9" x14ac:dyDescent="0.25">
      <c r="A4" s="1"/>
      <c r="B4" s="98" t="s">
        <v>101</v>
      </c>
      <c r="C4" s="99"/>
      <c r="D4" s="99"/>
      <c r="E4" s="99"/>
      <c r="F4" s="99"/>
      <c r="G4" s="99"/>
      <c r="H4" s="100"/>
      <c r="I4" s="1"/>
    </row>
    <row r="5" spans="1:9" x14ac:dyDescent="0.25">
      <c r="A5" s="1"/>
      <c r="B5" s="101" t="s">
        <v>106</v>
      </c>
      <c r="C5" s="102"/>
      <c r="D5" s="102"/>
      <c r="E5" s="102"/>
      <c r="F5" s="103"/>
      <c r="G5" s="26">
        <v>37470175.350618713</v>
      </c>
      <c r="H5" s="14" t="s">
        <v>3</v>
      </c>
      <c r="I5" s="1"/>
    </row>
    <row r="6" spans="1:9" x14ac:dyDescent="0.25">
      <c r="A6" s="1"/>
      <c r="B6" s="101" t="s">
        <v>102</v>
      </c>
      <c r="C6" s="102"/>
      <c r="D6" s="102"/>
      <c r="E6" s="102"/>
      <c r="F6" s="103"/>
      <c r="G6" s="26">
        <f>G5*'Fane 14. Nøgletal'!C17</f>
        <v>340978.59569063032</v>
      </c>
      <c r="H6" s="14" t="s">
        <v>3</v>
      </c>
      <c r="I6" s="1"/>
    </row>
    <row r="7" spans="1:9" x14ac:dyDescent="0.25">
      <c r="A7" s="1"/>
      <c r="B7" s="49"/>
      <c r="C7" s="50"/>
      <c r="D7" s="50"/>
      <c r="E7" s="50"/>
      <c r="F7" s="50"/>
      <c r="G7" s="50"/>
      <c r="H7" s="22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98" t="s">
        <v>107</v>
      </c>
      <c r="C9" s="99"/>
      <c r="D9" s="99"/>
      <c r="E9" s="99"/>
      <c r="F9" s="99"/>
      <c r="G9" s="99"/>
      <c r="H9" s="100"/>
      <c r="I9" s="1"/>
    </row>
    <row r="10" spans="1:9" x14ac:dyDescent="0.25">
      <c r="A10" s="1"/>
      <c r="B10" s="101" t="s">
        <v>108</v>
      </c>
      <c r="C10" s="102"/>
      <c r="D10" s="102"/>
      <c r="E10" s="102"/>
      <c r="F10" s="103"/>
      <c r="G10" s="26">
        <f>(G5-G6)*(1+'Fane 14. Nøgletal'!C9)</f>
        <v>37600737.553715669</v>
      </c>
      <c r="H10" s="14" t="s">
        <v>3</v>
      </c>
      <c r="I10" s="1"/>
    </row>
    <row r="11" spans="1:9" x14ac:dyDescent="0.25">
      <c r="A11" s="1"/>
      <c r="B11" s="104" t="s">
        <v>109</v>
      </c>
      <c r="C11" s="105"/>
      <c r="D11" s="105"/>
      <c r="E11" s="105"/>
      <c r="F11" s="106"/>
      <c r="G11" s="26">
        <v>0</v>
      </c>
      <c r="H11" s="14" t="s">
        <v>3</v>
      </c>
      <c r="I11" s="1"/>
    </row>
    <row r="12" spans="1:9" x14ac:dyDescent="0.25">
      <c r="A12" s="1"/>
      <c r="B12" s="101" t="s">
        <v>110</v>
      </c>
      <c r="C12" s="102"/>
      <c r="D12" s="102"/>
      <c r="E12" s="102"/>
      <c r="F12" s="103"/>
      <c r="G12" s="26">
        <f>G10*'Fane 14. Nøgletal'!C17+G11*'Fane 14. Nøgletal'!C18</f>
        <v>342166.71173881262</v>
      </c>
      <c r="H12" s="14" t="s">
        <v>3</v>
      </c>
      <c r="I12" s="1"/>
    </row>
    <row r="13" spans="1:9" x14ac:dyDescent="0.25">
      <c r="A13" s="1"/>
      <c r="B13" s="49"/>
      <c r="C13" s="50"/>
      <c r="D13" s="50"/>
      <c r="E13" s="50"/>
      <c r="F13" s="50"/>
      <c r="G13" s="50"/>
      <c r="H13" s="22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98" t="s">
        <v>111</v>
      </c>
      <c r="C15" s="99"/>
      <c r="D15" s="99"/>
      <c r="E15" s="99"/>
      <c r="F15" s="99"/>
      <c r="G15" s="99"/>
      <c r="H15" s="100"/>
      <c r="I15" s="1"/>
    </row>
    <row r="16" spans="1:9" x14ac:dyDescent="0.25">
      <c r="A16" s="1"/>
      <c r="B16" s="101" t="s">
        <v>112</v>
      </c>
      <c r="C16" s="102"/>
      <c r="D16" s="102"/>
      <c r="E16" s="102"/>
      <c r="F16" s="103"/>
      <c r="G16" s="26">
        <f>(G10+G11-G12)*(1+'Fane 14. Nøgletal'!C11)</f>
        <v>37888240.689206265</v>
      </c>
      <c r="H16" s="14" t="s">
        <v>3</v>
      </c>
      <c r="I16" s="1"/>
    </row>
    <row r="17" spans="1:9" x14ac:dyDescent="0.25">
      <c r="A17" s="1"/>
      <c r="B17" s="101" t="s">
        <v>223</v>
      </c>
      <c r="C17" s="102"/>
      <c r="D17" s="102"/>
      <c r="E17" s="102"/>
      <c r="F17" s="103"/>
      <c r="G17" s="26">
        <v>1370760.2013607777</v>
      </c>
      <c r="H17" s="14" t="s">
        <v>3</v>
      </c>
      <c r="I17" s="1"/>
    </row>
    <row r="18" spans="1:9" x14ac:dyDescent="0.25">
      <c r="A18" s="1"/>
      <c r="B18" s="104" t="s">
        <v>113</v>
      </c>
      <c r="C18" s="105"/>
      <c r="D18" s="105"/>
      <c r="E18" s="105"/>
      <c r="F18" s="106"/>
      <c r="G18" s="26">
        <v>223714.08086739996</v>
      </c>
      <c r="H18" s="14" t="s">
        <v>3</v>
      </c>
      <c r="I18" s="1"/>
    </row>
    <row r="19" spans="1:9" x14ac:dyDescent="0.25">
      <c r="A19" s="1"/>
      <c r="B19" s="101" t="s">
        <v>114</v>
      </c>
      <c r="C19" s="102"/>
      <c r="D19" s="102"/>
      <c r="E19" s="102"/>
      <c r="F19" s="103"/>
      <c r="G19" s="26">
        <f>SUM(G16:G18)*'Fane 14. Nøgletal'!C19</f>
        <v>343499.62025147962</v>
      </c>
      <c r="H19" s="14" t="s">
        <v>3</v>
      </c>
      <c r="I19" s="1"/>
    </row>
    <row r="20" spans="1:9" x14ac:dyDescent="0.25">
      <c r="A20" s="1"/>
      <c r="B20" s="49"/>
      <c r="C20" s="50"/>
      <c r="D20" s="50"/>
      <c r="E20" s="50"/>
      <c r="F20" s="50"/>
      <c r="G20" s="50"/>
      <c r="H20" s="22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98" t="s">
        <v>115</v>
      </c>
      <c r="C22" s="99"/>
      <c r="D22" s="99"/>
      <c r="E22" s="99"/>
      <c r="F22" s="99"/>
      <c r="G22" s="99"/>
      <c r="H22" s="100"/>
      <c r="I22" s="1"/>
    </row>
    <row r="23" spans="1:9" x14ac:dyDescent="0.25">
      <c r="A23" s="1"/>
      <c r="B23" s="101" t="s">
        <v>116</v>
      </c>
      <c r="C23" s="102"/>
      <c r="D23" s="102"/>
      <c r="E23" s="102"/>
      <c r="F23" s="103"/>
      <c r="G23" s="26">
        <f>(SUM(G16:G18)-G19)*(1+'Fane 14. Nøgletal'!C11)</f>
        <v>39800668.090617955</v>
      </c>
      <c r="H23" s="14" t="s">
        <v>3</v>
      </c>
      <c r="I23" s="1"/>
    </row>
    <row r="24" spans="1:9" x14ac:dyDescent="0.25">
      <c r="A24" s="1"/>
      <c r="B24" s="104" t="s">
        <v>117</v>
      </c>
      <c r="C24" s="105"/>
      <c r="D24" s="105"/>
      <c r="E24" s="105"/>
      <c r="F24" s="106"/>
      <c r="G24" s="26">
        <f>('Fane 2.1. Økonomisk ramme 2020'!C11+'Fane 2.1. Økonomisk ramme 2020'!C13+'Fane 2.1. Økonomisk ramme 2020'!C15)*(1+'Fane 14. Nøgletal'!C12)</f>
        <v>410232.0731684076</v>
      </c>
      <c r="H24" s="14" t="s">
        <v>3</v>
      </c>
      <c r="I24" s="1"/>
    </row>
    <row r="25" spans="1:9" x14ac:dyDescent="0.25">
      <c r="A25" s="1"/>
      <c r="B25" s="101" t="s">
        <v>118</v>
      </c>
      <c r="C25" s="102"/>
      <c r="D25" s="102"/>
      <c r="E25" s="102"/>
      <c r="F25" s="103"/>
      <c r="G25" s="26">
        <f>G23*'Fane 14. Nøgletal'!C19+G24*'Fane 14. Nøgletal'!C20</f>
        <v>357916.40326635895</v>
      </c>
      <c r="H25" s="14" t="s">
        <v>3</v>
      </c>
      <c r="I25" s="1"/>
    </row>
    <row r="26" spans="1:9" x14ac:dyDescent="0.25">
      <c r="A26" s="1"/>
      <c r="B26" s="49"/>
      <c r="C26" s="50"/>
      <c r="D26" s="50"/>
      <c r="E26" s="50"/>
      <c r="F26" s="50"/>
      <c r="G26" s="50"/>
      <c r="H26" s="22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98" t="s">
        <v>190</v>
      </c>
      <c r="C28" s="99"/>
      <c r="D28" s="99"/>
      <c r="E28" s="99"/>
      <c r="F28" s="99"/>
      <c r="G28" s="99"/>
      <c r="H28" s="100"/>
      <c r="I28" s="1"/>
    </row>
    <row r="29" spans="1:9" x14ac:dyDescent="0.25">
      <c r="A29" s="1"/>
      <c r="B29" s="101" t="s">
        <v>119</v>
      </c>
      <c r="C29" s="102"/>
      <c r="D29" s="102"/>
      <c r="E29" s="102"/>
      <c r="F29" s="103"/>
      <c r="G29" s="26">
        <f>(G23+G24-G25)*(1+'Fane 14. Nøgletal'!C12)</f>
        <v>40638087.540602252</v>
      </c>
      <c r="H29" s="14" t="s">
        <v>3</v>
      </c>
      <c r="I29" s="1"/>
    </row>
    <row r="30" spans="1:9" x14ac:dyDescent="0.25">
      <c r="A30" s="1"/>
      <c r="B30" s="101" t="s">
        <v>151</v>
      </c>
      <c r="C30" s="102"/>
      <c r="D30" s="102"/>
      <c r="E30" s="102"/>
      <c r="F30" s="103"/>
      <c r="G30" s="26">
        <f>-'Fane 12. Bortfald'!E19*(1+'Fane 14. Nøgletal'!C12)</f>
        <v>0</v>
      </c>
      <c r="H30" s="14" t="s">
        <v>3</v>
      </c>
      <c r="I30" s="1"/>
    </row>
    <row r="31" spans="1:9" x14ac:dyDescent="0.25">
      <c r="A31" s="1"/>
      <c r="B31" s="101" t="s">
        <v>219</v>
      </c>
      <c r="C31" s="102"/>
      <c r="D31" s="102"/>
      <c r="E31" s="102"/>
      <c r="F31" s="103"/>
      <c r="G31" s="26">
        <f>(G29+G30)*'Fane 14. Nøgletal'!C20</f>
        <v>1154121.6861531041</v>
      </c>
      <c r="H31" s="14" t="s">
        <v>3</v>
      </c>
      <c r="I31" s="1"/>
    </row>
    <row r="32" spans="1:9" x14ac:dyDescent="0.25">
      <c r="A32" s="1"/>
      <c r="B32" s="49"/>
      <c r="C32" s="50"/>
      <c r="D32" s="50"/>
      <c r="E32" s="50"/>
      <c r="F32" s="50"/>
      <c r="G32" s="50"/>
      <c r="H32" s="22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98" t="s">
        <v>128</v>
      </c>
      <c r="C34" s="99"/>
      <c r="D34" s="99"/>
      <c r="E34" s="99"/>
      <c r="F34" s="99"/>
      <c r="G34" s="99"/>
      <c r="H34" s="100"/>
      <c r="I34" s="1"/>
    </row>
    <row r="35" spans="1:9" x14ac:dyDescent="0.25">
      <c r="A35" s="1"/>
      <c r="B35" s="101" t="s">
        <v>123</v>
      </c>
      <c r="C35" s="102"/>
      <c r="D35" s="102"/>
      <c r="E35" s="102"/>
      <c r="F35" s="103"/>
      <c r="G35" s="26">
        <f>(G29-G31)*(1+'Fane 14. Nøgletal'!C12)</f>
        <v>40261799.981781796</v>
      </c>
      <c r="H35" s="14" t="s">
        <v>3</v>
      </c>
      <c r="I35" s="1"/>
    </row>
    <row r="36" spans="1:9" x14ac:dyDescent="0.25">
      <c r="A36" s="1"/>
      <c r="B36" s="101" t="s">
        <v>152</v>
      </c>
      <c r="C36" s="102"/>
      <c r="D36" s="102"/>
      <c r="E36" s="102"/>
      <c r="F36" s="103"/>
      <c r="G36" s="26">
        <f>-'Fane 12. Bortfald'!E26*(1+'Fane 14. Nøgletal'!C12)</f>
        <v>0</v>
      </c>
      <c r="H36" s="14" t="s">
        <v>3</v>
      </c>
      <c r="I36" s="1"/>
    </row>
    <row r="37" spans="1:9" x14ac:dyDescent="0.25">
      <c r="A37" s="1"/>
      <c r="B37" s="101" t="s">
        <v>120</v>
      </c>
      <c r="C37" s="102"/>
      <c r="D37" s="102"/>
      <c r="E37" s="102"/>
      <c r="F37" s="103"/>
      <c r="G37" s="26">
        <f>(G35+G36)*'Fane 14. Nøgletal'!C20</f>
        <v>1143435.1194826032</v>
      </c>
      <c r="H37" s="14" t="s">
        <v>3</v>
      </c>
      <c r="I37" s="1"/>
    </row>
    <row r="38" spans="1:9" x14ac:dyDescent="0.25">
      <c r="A38" s="1"/>
      <c r="B38" s="49"/>
      <c r="C38" s="50"/>
      <c r="D38" s="50"/>
      <c r="E38" s="50"/>
      <c r="F38" s="50"/>
      <c r="G38" s="50"/>
      <c r="H38" s="22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98" t="s">
        <v>129</v>
      </c>
      <c r="C40" s="99"/>
      <c r="D40" s="99"/>
      <c r="E40" s="99"/>
      <c r="F40" s="99"/>
      <c r="G40" s="99"/>
      <c r="H40" s="100"/>
      <c r="I40" s="1"/>
    </row>
    <row r="41" spans="1:9" x14ac:dyDescent="0.25">
      <c r="A41" s="1"/>
      <c r="B41" s="101" t="s">
        <v>122</v>
      </c>
      <c r="C41" s="102"/>
      <c r="D41" s="102"/>
      <c r="E41" s="102"/>
      <c r="F41" s="103"/>
      <c r="G41" s="26">
        <f>(G35-G37)*(1+'Fane 14. Nøgletal'!C12)</f>
        <v>39888996.650086485</v>
      </c>
      <c r="H41" s="14" t="s">
        <v>3</v>
      </c>
      <c r="I41" s="1"/>
    </row>
    <row r="42" spans="1:9" x14ac:dyDescent="0.25">
      <c r="A42" s="1"/>
      <c r="B42" s="101" t="s">
        <v>153</v>
      </c>
      <c r="C42" s="102"/>
      <c r="D42" s="102"/>
      <c r="E42" s="102"/>
      <c r="F42" s="103"/>
      <c r="G42" s="26">
        <f>-'Fane 12. Bortfald'!E33*(1+'Fane 14. Nøgletal'!C12)</f>
        <v>0</v>
      </c>
      <c r="H42" s="14" t="s">
        <v>3</v>
      </c>
      <c r="I42" s="1"/>
    </row>
    <row r="43" spans="1:9" x14ac:dyDescent="0.25">
      <c r="A43" s="1"/>
      <c r="B43" s="101" t="s">
        <v>121</v>
      </c>
      <c r="C43" s="102"/>
      <c r="D43" s="102"/>
      <c r="E43" s="102"/>
      <c r="F43" s="103"/>
      <c r="G43" s="26">
        <f>(G41+G42)*'Fane 14. Nøgletal'!C20</f>
        <v>1132847.5048624563</v>
      </c>
      <c r="H43" s="14" t="s">
        <v>3</v>
      </c>
      <c r="I43" s="1"/>
    </row>
    <row r="44" spans="1:9" x14ac:dyDescent="0.25">
      <c r="A44" s="1"/>
      <c r="B44" s="49"/>
      <c r="C44" s="50"/>
      <c r="D44" s="50"/>
      <c r="E44" s="50"/>
      <c r="F44" s="50"/>
      <c r="G44" s="50"/>
      <c r="H44" s="22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zIxJbx4JuGj8Zx2Qnf9ILfc2O/MMxQ60LYn+U+XbzGgsYX/Rn8xVYsDDsYB9hfYdnvWPyO32YofLY93uqyqZgw==" saltValue="WtqQdZuL5JnMZwZK5XBWOA==" spinCount="100000" sheet="1" objects="1" scenarios="1"/>
  <mergeCells count="29">
    <mergeCell ref="B17:F17"/>
    <mergeCell ref="B2:H2"/>
    <mergeCell ref="B35:F35"/>
    <mergeCell ref="B43:F43"/>
    <mergeCell ref="B19:F19"/>
    <mergeCell ref="B4:H4"/>
    <mergeCell ref="B5:F5"/>
    <mergeCell ref="B6:F6"/>
    <mergeCell ref="B9:H9"/>
    <mergeCell ref="B10:F10"/>
    <mergeCell ref="B11:F11"/>
    <mergeCell ref="B12:F12"/>
    <mergeCell ref="B15:H15"/>
    <mergeCell ref="B16:F16"/>
    <mergeCell ref="B18:F18"/>
    <mergeCell ref="B30:F30"/>
    <mergeCell ref="B22:H22"/>
    <mergeCell ref="B42:F42"/>
    <mergeCell ref="B23:F23"/>
    <mergeCell ref="B24:F24"/>
    <mergeCell ref="B25:F25"/>
    <mergeCell ref="B37:F37"/>
    <mergeCell ref="B40:H40"/>
    <mergeCell ref="B41:F41"/>
    <mergeCell ref="B28:H28"/>
    <mergeCell ref="B29:F29"/>
    <mergeCell ref="B31:F31"/>
    <mergeCell ref="B34:H34"/>
    <mergeCell ref="B36:F3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5" t="s">
        <v>144</v>
      </c>
      <c r="C3" s="75"/>
      <c r="D3" s="75"/>
      <c r="E3" s="75"/>
      <c r="F3" s="75"/>
      <c r="G3" s="75"/>
      <c r="H3" s="75"/>
      <c r="I3" s="1"/>
    </row>
    <row r="4" spans="1:9" ht="15" customHeight="1" x14ac:dyDescent="0.25">
      <c r="A4" s="1"/>
      <c r="B4" s="75"/>
      <c r="C4" s="75"/>
      <c r="D4" s="75"/>
      <c r="E4" s="75"/>
      <c r="F4" s="75"/>
      <c r="G4" s="75"/>
      <c r="H4" s="75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8" t="s">
        <v>10</v>
      </c>
      <c r="C8" s="99"/>
      <c r="D8" s="99"/>
      <c r="E8" s="99"/>
      <c r="F8" s="99"/>
      <c r="G8" s="99"/>
      <c r="H8" s="100"/>
      <c r="I8" s="1"/>
    </row>
    <row r="9" spans="1:9" x14ac:dyDescent="0.25">
      <c r="A9" s="1"/>
      <c r="B9" s="101" t="s">
        <v>178</v>
      </c>
      <c r="C9" s="102"/>
      <c r="D9" s="102"/>
      <c r="E9" s="102"/>
      <c r="F9" s="103"/>
      <c r="G9" s="25">
        <v>0.02</v>
      </c>
      <c r="H9" s="14"/>
      <c r="I9" s="1"/>
    </row>
    <row r="10" spans="1:9" x14ac:dyDescent="0.25">
      <c r="A10" s="1"/>
      <c r="B10" s="101" t="s">
        <v>179</v>
      </c>
      <c r="C10" s="102"/>
      <c r="D10" s="102"/>
      <c r="E10" s="102"/>
      <c r="F10" s="103"/>
      <c r="G10" s="25">
        <v>1.8288366908669806E-2</v>
      </c>
      <c r="H10" s="14"/>
      <c r="I10" s="1"/>
    </row>
    <row r="11" spans="1:9" x14ac:dyDescent="0.25">
      <c r="A11" s="1"/>
      <c r="B11" s="49"/>
      <c r="C11" s="50"/>
      <c r="D11" s="50"/>
      <c r="E11" s="50"/>
      <c r="F11" s="50"/>
      <c r="G11" s="50"/>
      <c r="H11" s="2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30.75" customHeight="1" x14ac:dyDescent="0.25">
      <c r="A13" s="20"/>
      <c r="B13" s="108"/>
      <c r="C13" s="108"/>
      <c r="D13" s="108"/>
      <c r="E13" s="108"/>
      <c r="F13" s="108"/>
      <c r="G13" s="108"/>
      <c r="H13" s="108"/>
      <c r="I13" s="20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ApFEcutZIj4xe9TTiN4rOcIMuUQdHalTe5bTrDbYv9Kv4zezfkq5kHj8OSQv7vxj38fp4kGu6TJlOo0/UzWUdg==" saltValue="d8pmJUBgwYF3dV6j+Pnv9w==" spinCount="100000" sheet="1" objects="1" scenarios="1"/>
  <mergeCells count="5">
    <mergeCell ref="B3:H4"/>
    <mergeCell ref="B13:H13"/>
    <mergeCell ref="B9:F9"/>
    <mergeCell ref="B8:H8"/>
    <mergeCell ref="B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4.1. Gen. krav - drift</vt:lpstr>
      <vt:lpstr>Fane 4.2. Gen. krav - anlæg</vt:lpstr>
      <vt:lpstr>Fane 5. Individuelt eff. krav</vt:lpstr>
      <vt:lpstr>Fane 6. Ikke-påvirkelige omk.</vt:lpstr>
      <vt:lpstr>Fane 7. Kontrol af ØR2018</vt:lpstr>
      <vt:lpstr>Fane 8. Korrektioner</vt:lpstr>
      <vt:lpstr>Fane 9. Anlægsprojekter</vt:lpstr>
      <vt:lpstr>Fane 10.1. Varige tillæg</vt:lpstr>
      <vt:lpstr>Fane 10.2. Engangstillæg</vt:lpstr>
      <vt:lpstr>Fane 11. Tilknyttet aktivitet</vt:lpstr>
      <vt:lpstr>Fane 12. Bortfald</vt:lpstr>
      <vt:lpstr>Fane 13. Hist. over-underdæk.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2019-10-11T11:32:14Z</dcterms:modified>
</cp:coreProperties>
</file>