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K-Vand AS (V13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3" i="37" l="1"/>
  <c r="C13" i="37"/>
  <c r="E32" i="32" l="1"/>
  <c r="E28" i="27" l="1"/>
  <c r="E29" i="27" l="1"/>
  <c r="E10" i="11"/>
  <c r="E18" i="32" l="1"/>
  <c r="E9" i="32"/>
  <c r="E9" i="40" l="1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4" i="37" s="1"/>
  <c r="C10" i="2" s="1"/>
  <c r="G11" i="11"/>
  <c r="E11" i="21" l="1"/>
  <c r="C11" i="21"/>
  <c r="E11" i="29"/>
  <c r="C11" i="29"/>
  <c r="C14" i="19"/>
  <c r="C15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4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6" i="27" s="1"/>
  <c r="C9" i="2" l="1"/>
  <c r="C16" i="2" l="1"/>
  <c r="C17" i="2" s="1"/>
  <c r="C20" i="2" l="1"/>
  <c r="C33" i="2" s="1"/>
  <c r="C9" i="15" l="1"/>
  <c r="C12" i="15" s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<sst xmlns="http://schemas.openxmlformats.org/spreadsheetml/2006/main" count="606" uniqueCount="247">
  <si>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</si>
  <si>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</si>
  <si>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</si>
  <si>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</si>
  <si>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</si>
  <si>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</si>
  <si>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</si>
  <si>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</si>
  <si>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</si>
  <si>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</si>
  <si>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</si>
  <si>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</si>
  <si>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</si>
  <si>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</si>
  <si>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</si>
  <si>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</si>
  <si>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</si>
  <si>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</si>
  <si>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</si>
  <si>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</si>
  <si>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</si>
  <si>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</si>
  <si>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</si>
  <si>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</si>
  <si>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</si>
  <si>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</si>
  <si>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</si>
  <si>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</si>
  <si>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</si>
  <si>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</si>
  <si>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</si>
  <si>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</si>
  <si>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</si>
  <si>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</si>
  <si>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</si>
  <si>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</si>
  <si>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</si>
  <si>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</si>
  <si>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</si>
  <si>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</si>
  <si>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</si>
  <si>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</si>
  <si>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</si>
  <si>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</si>
  <si>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</si>
  <si>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</si>
  <si>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</si>
  <si>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</si>
  <si>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</si>
  <si>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</si>
  <si>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</si>
  <si>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</si>
  <si>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</si>
  <si>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</si>
  <si>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</si>
  <si>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</si>
  <si>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</si>
  <si>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</si>
  <si>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</si>
  <si>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</si>
  <si>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</si>
  <si>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</si>
  <si>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</si>
  <si>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</si>
  <si>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</si>
  <si>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</si>
  <si>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</si>
  <si>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</si>
  <si>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</si>
  <si>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</si>
  <si>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</si>
  <si>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</si>
  <si>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</si>
  <si>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</si>
  <si>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</si>
  <si>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</si>
  <si>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</si>
  <si>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</si>
  <si>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</si>
  <si>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</si>
  <si>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</si>
  <si>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</si>
  <si>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</si>
  <si>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</si>
  <si>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</si>
  <si>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</si>
  <si>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</si>
  <si>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</si>
  <si>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</si>
  <si>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</si>
  <si>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</si>
  <si>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</si>
  <si>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</si>
  <si>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</si>
  <si>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</si>
  <si>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</si>
  <si>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</si>
  <si>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</si>
  <si>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</si>
  <si>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</si>
  <si>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</si>
  <si>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</si>
  <si>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</si>
  <si>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</si>
  <si>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</si>
  <si>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</si>
  <si>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</si>
  <si>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</si>
  <si>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</si>
  <si>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</si>
  <si>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</si>
  <si>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</si>
  <si>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</si>
  <si>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</si>
  <si>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</si>
  <si>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</si>
  <si>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</si>
  <si>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</si>
  <si>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</si>
  <si>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</si>
  <si>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</si>
  <si>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</si>
  <si>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</si>
  <si>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</si>
  <si>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</si>
  <si>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</si>
  <si>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</si>
  <si>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</si>
  <si>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</si>
  <si>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</si>
  <si>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</si>
  <si>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</si>
  <si>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</si>
  <si>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</si>
  <si>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</si>
  <si>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</si>
  <si>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</si>
  <si>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</si>
  <si>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</si>
  <si>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</si>
  <si>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</si>
  <si>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</si>
  <si>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</si>
  <si>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</si>
  <si>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</si>
  <si>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</si>
  <si>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</si>
  <si>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</si>
  <si>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</si>
  <si>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</si>
  <si>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</si>
  <si>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</si>
  <si>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</si>
  <si>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</si>
  <si>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</si>
  <si>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</si>
  <si>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</si>
  <si>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</si>
  <si>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</si>
  <si>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</si>
  <si>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</si>
  <si>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</si>
  <si>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</si>
  <si>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</si>
  <si>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</si>
  <si>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</si>
  <si>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</si>
  <si>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</si>
  <si>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</si>
  <si>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</si>
  <si>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</si>
  <si>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</si>
  <si>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</si>
  <si>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</si>
  <si>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</si>
  <si>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</si>
  <si>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</si>
  <si>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</si>
  <si>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</si>
  <si>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</si>
  <si>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</si>
  <si>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</si>
  <si>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</si>
  <si>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</si>
  <si>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</si>
  <si>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</si>
  <si>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</si>
  <si>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</si>
  <si>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</si>
  <si>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</si>
  <si>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</si>
  <si>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</si>
  <si>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</si>
  <si>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</si>
  <si>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</si>
  <si>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</si>
  <si>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</si>
  <si>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</si>
  <si>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</si>
  <si>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</si>
  <si>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</si>
  <si>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</si>
  <si>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</si>
  <si>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</si>
  <si>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</si>
  <si>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</si>
  <si>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</si>
  <si>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</si>
  <si>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</si>
  <si>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</si>
  <si>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</si>
  <si>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</si>
  <si>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</si>
  <si>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</si>
  <si>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</si>
  <si>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</si>
  <si>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</si>
  <si>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</si>
  <si>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</si>
  <si>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</si>
  <si>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</si>
  <si>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</si>
  <si>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</si>
  <si>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</si>
  <si>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</si>
  <si>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</si>
  <si>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</si>
  <si>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</si>
  <si>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</si>
  <si>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</si>
  <si>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</si>
  <si>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</si>
  <si>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</si>
  <si>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</si>
  <si>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Afregningsmålere, elektroniske ≤ Ø 110mm (Qn 10)</t>
  </si>
  <si>
    <t>Anlægsprojekter igangsat senest 1. marts 2016</t>
  </si>
  <si>
    <t>Afgift for ledningsført vand</t>
  </si>
  <si>
    <t>Afgift til Forsyningssekretariatet</t>
  </si>
  <si>
    <t>Ejendomsskat</t>
  </si>
  <si>
    <t>Erstatninger</t>
  </si>
  <si>
    <t>Flytning af forsyningsledninger</t>
  </si>
  <si>
    <t>Ingen engangstillæg</t>
  </si>
  <si>
    <t xml:space="preserve">Effektiviseringskrav </t>
  </si>
  <si>
    <t>Til indregning i den økonomiske ramme for 2020</t>
  </si>
  <si>
    <t>Tillæg/fradrag i den økonomiske ramme for 2020 i alt</t>
  </si>
  <si>
    <t>Videreførte omkostninger fra den økonomiske ramme for 2022</t>
  </si>
  <si>
    <t>Byggemodninger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</si>
</sst>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2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0" borderId="1" xfId="0" applyFont="1" applyFill="1" applyBorder="1" applyAlignment="1" applyProtection="1">
      <alignment wrapText="1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horizontal="left"/>
    </xf>
    <xf numFmtId="0" fontId="8" fillId="0" borderId="6" xfId="0" applyFont="1" applyFill="1" applyBorder="1" applyAlignment="1" applyProtection="1">
      <alignment horizontal="left"/>
    </xf>
    <xf numFmtId="0" fontId="8" fillId="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0" t="s">
        <v>4</v>
      </c>
      <c r="E6" s="70"/>
      <c r="F6" s="70"/>
      <c r="G6" s="70"/>
      <c r="H6" s="3"/>
      <c r="I6" s="1"/>
    </row>
    <row r="7" spans="1:9" ht="15" customHeight="1" x14ac:dyDescent="0.25">
      <c r="A7" s="1"/>
      <c r="B7" s="1"/>
      <c r="C7" s="3"/>
      <c r="D7" s="70"/>
      <c r="E7" s="70"/>
      <c r="F7" s="70"/>
      <c r="G7" s="70"/>
      <c r="H7" s="3"/>
      <c r="I7" s="1"/>
    </row>
    <row r="8" spans="1:9" ht="15.75" x14ac:dyDescent="0.25">
      <c r="A8" s="1"/>
      <c r="B8" s="1"/>
      <c r="C8" s="4"/>
      <c r="D8" s="72" t="s">
        <v>192</v>
      </c>
      <c r="E8" s="72"/>
      <c r="F8" s="72"/>
      <c r="G8" s="72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1" t="s">
        <v>5</v>
      </c>
      <c r="E11" s="71"/>
      <c r="F11" s="71"/>
      <c r="G11" s="71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7" t="s">
        <v>56</v>
      </c>
      <c r="E13" s="68"/>
      <c r="F13" s="68"/>
      <c r="G13" s="69"/>
      <c r="H13" s="1"/>
      <c r="I13" s="1"/>
    </row>
    <row r="14" spans="1:9" x14ac:dyDescent="0.25">
      <c r="A14" s="1"/>
      <c r="B14" s="1"/>
      <c r="C14" s="6" t="s">
        <v>22</v>
      </c>
      <c r="D14" s="67" t="s">
        <v>177</v>
      </c>
      <c r="E14" s="68"/>
      <c r="F14" s="68"/>
      <c r="G14" s="69"/>
      <c r="H14" s="1"/>
      <c r="I14" s="1"/>
    </row>
    <row r="15" spans="1:9" x14ac:dyDescent="0.25">
      <c r="A15" s="1"/>
      <c r="B15" s="1"/>
      <c r="C15" s="6" t="s">
        <v>55</v>
      </c>
      <c r="D15" s="67" t="s">
        <v>133</v>
      </c>
      <c r="E15" s="68"/>
      <c r="F15" s="68"/>
      <c r="G15" s="69"/>
      <c r="H15" s="1"/>
      <c r="I15" s="1"/>
    </row>
    <row r="16" spans="1:9" x14ac:dyDescent="0.25">
      <c r="A16" s="1"/>
      <c r="B16" s="1"/>
      <c r="C16" s="6" t="s">
        <v>57</v>
      </c>
      <c r="D16" s="67" t="s">
        <v>134</v>
      </c>
      <c r="E16" s="68"/>
      <c r="F16" s="68"/>
      <c r="G16" s="69"/>
      <c r="H16" s="1"/>
      <c r="I16" s="1"/>
    </row>
    <row r="17" spans="1:9" x14ac:dyDescent="0.25">
      <c r="A17" s="1"/>
      <c r="B17" s="1"/>
      <c r="C17" s="6" t="s">
        <v>224</v>
      </c>
      <c r="D17" s="67" t="s">
        <v>66</v>
      </c>
      <c r="E17" s="68"/>
      <c r="F17" s="68"/>
      <c r="G17" s="69"/>
      <c r="H17" s="1"/>
      <c r="I17" s="1"/>
    </row>
    <row r="18" spans="1:9" x14ac:dyDescent="0.25">
      <c r="A18" s="1"/>
      <c r="B18" s="1"/>
      <c r="C18" s="34" t="s">
        <v>196</v>
      </c>
      <c r="D18" s="73" t="s">
        <v>162</v>
      </c>
      <c r="E18" s="74"/>
      <c r="F18" s="74"/>
      <c r="G18" s="75"/>
      <c r="H18" s="1"/>
      <c r="I18" s="1"/>
    </row>
    <row r="19" spans="1:9" x14ac:dyDescent="0.25">
      <c r="A19" s="1"/>
      <c r="B19" s="1"/>
      <c r="C19" s="34" t="s">
        <v>197</v>
      </c>
      <c r="D19" s="73" t="s">
        <v>163</v>
      </c>
      <c r="E19" s="74"/>
      <c r="F19" s="74"/>
      <c r="G19" s="75"/>
      <c r="H19" s="1"/>
      <c r="I19" s="1"/>
    </row>
    <row r="20" spans="1:9" x14ac:dyDescent="0.25">
      <c r="A20" s="1"/>
      <c r="B20" s="1"/>
      <c r="C20" s="34" t="s">
        <v>7</v>
      </c>
      <c r="D20" s="73" t="s">
        <v>10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198</v>
      </c>
      <c r="D21" s="64" t="s">
        <v>17</v>
      </c>
      <c r="E21" s="65"/>
      <c r="F21" s="65"/>
      <c r="G21" s="66"/>
      <c r="H21" s="1"/>
      <c r="I21" s="1"/>
    </row>
    <row r="22" spans="1:9" x14ac:dyDescent="0.25">
      <c r="A22" s="1"/>
      <c r="B22" s="1"/>
      <c r="C22" s="6" t="s">
        <v>140</v>
      </c>
      <c r="D22" s="58" t="s">
        <v>161</v>
      </c>
      <c r="E22" s="59"/>
      <c r="F22" s="59"/>
      <c r="G22" s="60"/>
      <c r="H22" s="1"/>
      <c r="I22" s="1"/>
    </row>
    <row r="23" spans="1:9" x14ac:dyDescent="0.25">
      <c r="A23" s="1"/>
      <c r="B23" s="1"/>
      <c r="C23" s="6" t="s">
        <v>8</v>
      </c>
      <c r="D23" s="58" t="s">
        <v>225</v>
      </c>
      <c r="E23" s="59"/>
      <c r="F23" s="59"/>
      <c r="G23" s="60"/>
      <c r="H23" s="1"/>
      <c r="I23" s="1"/>
    </row>
    <row r="24" spans="1:9" x14ac:dyDescent="0.25">
      <c r="A24" s="1"/>
      <c r="B24" s="1"/>
      <c r="C24" s="6" t="s">
        <v>9</v>
      </c>
      <c r="D24" s="58" t="s">
        <v>58</v>
      </c>
      <c r="E24" s="59"/>
      <c r="F24" s="59"/>
      <c r="G24" s="60"/>
      <c r="H24" s="1"/>
      <c r="I24" s="1"/>
    </row>
    <row r="25" spans="1:9" x14ac:dyDescent="0.25">
      <c r="A25" s="1"/>
      <c r="B25" s="1"/>
      <c r="C25" s="6" t="s">
        <v>199</v>
      </c>
      <c r="D25" s="58" t="s">
        <v>141</v>
      </c>
      <c r="E25" s="59"/>
      <c r="F25" s="59"/>
      <c r="G25" s="60"/>
      <c r="H25" s="1"/>
      <c r="I25" s="1"/>
    </row>
    <row r="26" spans="1:9" x14ac:dyDescent="0.25">
      <c r="A26" s="1"/>
      <c r="B26" s="1"/>
      <c r="C26" s="6" t="s">
        <v>200</v>
      </c>
      <c r="D26" s="58" t="s">
        <v>142</v>
      </c>
      <c r="E26" s="59"/>
      <c r="F26" s="59"/>
      <c r="G26" s="60"/>
      <c r="H26" s="1"/>
      <c r="I26" s="1"/>
    </row>
    <row r="27" spans="1:9" x14ac:dyDescent="0.25">
      <c r="A27" s="1"/>
      <c r="B27" s="1"/>
      <c r="C27" s="6" t="s">
        <v>201</v>
      </c>
      <c r="D27" s="58" t="s">
        <v>59</v>
      </c>
      <c r="E27" s="59"/>
      <c r="F27" s="59"/>
      <c r="G27" s="60"/>
      <c r="H27" s="1"/>
      <c r="I27" s="1"/>
    </row>
    <row r="28" spans="1:9" x14ac:dyDescent="0.25">
      <c r="A28" s="1"/>
      <c r="B28" s="1"/>
      <c r="C28" s="6" t="s">
        <v>183</v>
      </c>
      <c r="D28" s="58" t="s">
        <v>60</v>
      </c>
      <c r="E28" s="59"/>
      <c r="F28" s="59"/>
      <c r="G28" s="60"/>
      <c r="H28" s="1"/>
      <c r="I28" s="1"/>
    </row>
    <row r="29" spans="1:9" x14ac:dyDescent="0.25">
      <c r="A29" s="1"/>
      <c r="B29" s="1"/>
      <c r="C29" s="6" t="s">
        <v>61</v>
      </c>
      <c r="D29" s="55" t="s">
        <v>11</v>
      </c>
      <c r="E29" s="56"/>
      <c r="F29" s="56"/>
      <c r="G29" s="57"/>
      <c r="H29" s="1"/>
      <c r="I29" s="1"/>
    </row>
    <row r="30" spans="1:9" x14ac:dyDescent="0.25">
      <c r="A30" s="1"/>
      <c r="B30" s="1"/>
      <c r="C30" s="6" t="s">
        <v>62</v>
      </c>
      <c r="D30" s="61" t="s">
        <v>184</v>
      </c>
      <c r="E30" s="62"/>
      <c r="F30" s="62"/>
      <c r="G30" s="63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wxd/tmiFdtw8vX0u4VMS2ggXDnYGcRUajIEbSfv/zaG9JtlOOGb8xqZFYKKw4gmwyPnLafxNuy1pFyLN0y0XWQ==" saltValue="Jj2J+GTtYCGRr5nVv0pV0Q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6" t="s">
        <v>204</v>
      </c>
      <c r="C3" s="76"/>
      <c r="D3" s="76"/>
      <c r="E3" s="1"/>
      <c r="F3" s="1"/>
    </row>
    <row r="4" spans="1:6" ht="15" customHeight="1" x14ac:dyDescent="0.25">
      <c r="A4" s="1"/>
      <c r="B4" s="76"/>
      <c r="C4" s="76"/>
      <c r="D4" s="7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05" t="s">
        <v>69</v>
      </c>
      <c r="C8" s="106"/>
      <c r="D8" s="107"/>
      <c r="E8" s="1"/>
      <c r="F8" s="1"/>
    </row>
    <row r="9" spans="1:6" ht="15" customHeight="1" x14ac:dyDescent="0.25">
      <c r="A9" s="1"/>
      <c r="B9" s="43" t="s">
        <v>48</v>
      </c>
      <c r="C9" s="11" t="s">
        <v>70</v>
      </c>
      <c r="D9" s="11"/>
      <c r="E9" s="1"/>
      <c r="F9" s="1"/>
    </row>
    <row r="10" spans="1:6" x14ac:dyDescent="0.25">
      <c r="A10" s="1"/>
      <c r="B10" s="53" t="s">
        <v>236</v>
      </c>
      <c r="C10" s="9">
        <v>13199226</v>
      </c>
      <c r="D10" s="14" t="s">
        <v>3</v>
      </c>
      <c r="E10" s="1"/>
      <c r="F10" s="1"/>
    </row>
    <row r="11" spans="1:6" x14ac:dyDescent="0.25">
      <c r="A11" s="1"/>
      <c r="B11" s="53" t="s">
        <v>237</v>
      </c>
      <c r="C11" s="9">
        <v>50084</v>
      </c>
      <c r="D11" s="14" t="s">
        <v>3</v>
      </c>
      <c r="E11" s="1"/>
      <c r="F11" s="1"/>
    </row>
    <row r="12" spans="1:6" x14ac:dyDescent="0.25">
      <c r="A12" s="1"/>
      <c r="B12" s="53" t="s">
        <v>238</v>
      </c>
      <c r="C12" s="9">
        <v>52830</v>
      </c>
      <c r="D12" s="14" t="s">
        <v>3</v>
      </c>
      <c r="E12" s="1"/>
      <c r="F12" s="1"/>
    </row>
    <row r="13" spans="1:6" x14ac:dyDescent="0.25">
      <c r="A13" s="1"/>
      <c r="B13" s="53" t="s">
        <v>239</v>
      </c>
      <c r="C13" s="9">
        <v>102619</v>
      </c>
      <c r="D13" s="14" t="s">
        <v>3</v>
      </c>
      <c r="E13" s="1"/>
      <c r="F13" s="1"/>
    </row>
    <row r="14" spans="1:6" x14ac:dyDescent="0.25">
      <c r="A14" s="1"/>
      <c r="B14" s="48" t="s">
        <v>71</v>
      </c>
      <c r="C14" s="12">
        <f>SUM(C10:C13)</f>
        <v>13404759</v>
      </c>
      <c r="D14" s="13" t="s">
        <v>3</v>
      </c>
      <c r="E14" s="1"/>
      <c r="F14" s="1"/>
    </row>
    <row r="15" spans="1:6" x14ac:dyDescent="0.25">
      <c r="A15" s="1"/>
      <c r="B15" s="48" t="s">
        <v>72</v>
      </c>
      <c r="C15" s="12">
        <f>C14*(1+'Fane 14. Nøgletal'!C12)^2</f>
        <v>13938108.757520311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Rd+Zu090055d+iqNQOnM1DBYEL13lSbcybspw0CBYgssy4dx5BlCZNAtGxULDBXaj5lHZnR8ekFy/w3K3Ix4UA==" saltValue="CSKlr0o6drER+6sIa3i9v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205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105" t="s">
        <v>52</v>
      </c>
      <c r="C6" s="106"/>
      <c r="D6" s="106"/>
      <c r="E6" s="106"/>
      <c r="F6" s="107"/>
      <c r="G6" s="1"/>
    </row>
    <row r="7" spans="1:7" ht="15" customHeight="1" x14ac:dyDescent="0.25">
      <c r="A7" s="1"/>
      <c r="B7" s="108" t="s">
        <v>50</v>
      </c>
      <c r="C7" s="109"/>
      <c r="D7" s="110"/>
      <c r="E7" s="9">
        <v>-3535540.3888888876</v>
      </c>
      <c r="F7" s="14" t="s">
        <v>3</v>
      </c>
      <c r="G7" s="1"/>
    </row>
    <row r="8" spans="1:7" ht="15" customHeight="1" x14ac:dyDescent="0.25">
      <c r="A8" s="1"/>
      <c r="B8" s="108" t="s">
        <v>51</v>
      </c>
      <c r="C8" s="109"/>
      <c r="D8" s="110"/>
      <c r="E8" s="9">
        <v>2634181.7871964648</v>
      </c>
      <c r="F8" s="14" t="s">
        <v>3</v>
      </c>
      <c r="G8" s="1"/>
    </row>
    <row r="9" spans="1:7" ht="15" customHeight="1" x14ac:dyDescent="0.25">
      <c r="A9" s="1"/>
      <c r="B9" s="102" t="s">
        <v>186</v>
      </c>
      <c r="C9" s="103"/>
      <c r="D9" s="104"/>
      <c r="E9" s="10">
        <f>SUM(E7:E8)</f>
        <v>-901358.60169242276</v>
      </c>
      <c r="F9" s="17" t="s">
        <v>3</v>
      </c>
      <c r="G9" s="1"/>
    </row>
    <row r="10" spans="1:7" ht="15" customHeight="1" x14ac:dyDescent="0.25">
      <c r="A10" s="1"/>
      <c r="B10" s="48"/>
      <c r="C10" s="49"/>
      <c r="D10" s="49"/>
      <c r="E10" s="49"/>
      <c r="F10" s="22"/>
      <c r="G10" s="1"/>
    </row>
    <row r="11" spans="1:7" ht="28.5" customHeight="1" x14ac:dyDescent="0.25">
      <c r="A11" s="1"/>
      <c r="B11" s="90" t="s">
        <v>188</v>
      </c>
      <c r="C11" s="91"/>
      <c r="D11" s="91"/>
      <c r="E11" s="91"/>
      <c r="F11" s="92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05" t="s">
        <v>165</v>
      </c>
      <c r="C14" s="106"/>
      <c r="D14" s="106"/>
      <c r="E14" s="106"/>
      <c r="F14" s="107"/>
      <c r="G14" s="1"/>
    </row>
    <row r="15" spans="1:7" x14ac:dyDescent="0.25">
      <c r="A15" s="1"/>
      <c r="B15" s="108" t="s">
        <v>166</v>
      </c>
      <c r="C15" s="109"/>
      <c r="D15" s="110"/>
      <c r="E15" s="9">
        <v>41405707.471173473</v>
      </c>
      <c r="F15" s="14" t="s">
        <v>3</v>
      </c>
      <c r="G15" s="1"/>
    </row>
    <row r="16" spans="1:7" x14ac:dyDescent="0.25">
      <c r="A16" s="1"/>
      <c r="B16" s="108" t="s">
        <v>167</v>
      </c>
      <c r="C16" s="109"/>
      <c r="D16" s="110"/>
      <c r="E16" s="9">
        <v>42030673</v>
      </c>
      <c r="F16" s="14" t="s">
        <v>3</v>
      </c>
      <c r="G16" s="1"/>
    </row>
    <row r="17" spans="1:7" x14ac:dyDescent="0.25">
      <c r="A17" s="1"/>
      <c r="B17" s="108" t="s">
        <v>49</v>
      </c>
      <c r="C17" s="109"/>
      <c r="D17" s="110"/>
      <c r="E17" s="9">
        <v>0</v>
      </c>
      <c r="F17" s="14" t="s">
        <v>3</v>
      </c>
      <c r="G17" s="1"/>
    </row>
    <row r="18" spans="1:7" x14ac:dyDescent="0.25">
      <c r="A18" s="1"/>
      <c r="B18" s="102" t="s">
        <v>187</v>
      </c>
      <c r="C18" s="103"/>
      <c r="D18" s="104"/>
      <c r="E18" s="10">
        <f>E15-(E16-E17)</f>
        <v>-624965.5288265273</v>
      </c>
      <c r="F18" s="17" t="s">
        <v>3</v>
      </c>
      <c r="G18" s="1"/>
    </row>
    <row r="19" spans="1:7" x14ac:dyDescent="0.25">
      <c r="A19" s="1"/>
      <c r="B19" s="48"/>
      <c r="C19" s="49"/>
      <c r="D19" s="49"/>
      <c r="E19" s="49"/>
      <c r="F19" s="22"/>
      <c r="G19" s="1"/>
    </row>
    <row r="20" spans="1:7" ht="30" customHeight="1" x14ac:dyDescent="0.25">
      <c r="A20" s="1"/>
      <c r="B20" s="90" t="s">
        <v>189</v>
      </c>
      <c r="C20" s="91"/>
      <c r="D20" s="91"/>
      <c r="E20" s="91"/>
      <c r="F20" s="92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05" t="s">
        <v>77</v>
      </c>
      <c r="C23" s="106"/>
      <c r="D23" s="106"/>
      <c r="E23" s="106"/>
      <c r="F23" s="107"/>
      <c r="G23" s="1"/>
    </row>
    <row r="24" spans="1:7" x14ac:dyDescent="0.25">
      <c r="A24" s="1"/>
      <c r="B24" s="108" t="s">
        <v>78</v>
      </c>
      <c r="C24" s="109"/>
      <c r="D24" s="110"/>
      <c r="E24" s="9">
        <v>41093337.187118307</v>
      </c>
      <c r="F24" s="14" t="s">
        <v>3</v>
      </c>
      <c r="G24" s="1"/>
    </row>
    <row r="25" spans="1:7" x14ac:dyDescent="0.25">
      <c r="A25" s="1"/>
      <c r="B25" s="108" t="s">
        <v>79</v>
      </c>
      <c r="C25" s="109"/>
      <c r="D25" s="110"/>
      <c r="E25" s="9">
        <v>40057554</v>
      </c>
      <c r="F25" s="14" t="s">
        <v>3</v>
      </c>
      <c r="G25" s="1"/>
    </row>
    <row r="26" spans="1:7" x14ac:dyDescent="0.25">
      <c r="A26" s="1"/>
      <c r="B26" s="108" t="s">
        <v>49</v>
      </c>
      <c r="C26" s="109"/>
      <c r="D26" s="110"/>
      <c r="E26" s="9">
        <v>0</v>
      </c>
      <c r="F26" s="14" t="s">
        <v>3</v>
      </c>
      <c r="G26" s="1"/>
    </row>
    <row r="27" spans="1:7" x14ac:dyDescent="0.25">
      <c r="A27" s="1"/>
      <c r="B27" s="102" t="s">
        <v>187</v>
      </c>
      <c r="C27" s="103"/>
      <c r="D27" s="104"/>
      <c r="E27" s="10">
        <f>E24-(E25-E26)</f>
        <v>1035783.1871183068</v>
      </c>
      <c r="F27" s="17" t="s">
        <v>3</v>
      </c>
      <c r="G27" s="1"/>
    </row>
    <row r="28" spans="1:7" x14ac:dyDescent="0.25">
      <c r="A28" s="1"/>
      <c r="B28" s="48"/>
      <c r="C28" s="49"/>
      <c r="D28" s="49"/>
      <c r="E28" s="49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05" t="s">
        <v>243</v>
      </c>
      <c r="C31" s="106"/>
      <c r="D31" s="106"/>
      <c r="E31" s="106"/>
      <c r="F31" s="107"/>
      <c r="G31" s="1"/>
    </row>
    <row r="32" spans="1:7" x14ac:dyDescent="0.25">
      <c r="A32" s="1"/>
      <c r="B32" s="102" t="s">
        <v>244</v>
      </c>
      <c r="C32" s="103"/>
      <c r="D32" s="104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AND(E27&gt;0,E27&gt;(E18+E27),(E18+E27)&gt;0),-E18,IF(E27+E9+E18&gt;0,E27-(E27+E9+E18),IF(E27+E9+E18=0,E27,IF(AND(E27&gt;0,E27+E9+E18&lt;0),E27,0)))),0)))))</f>
        <v>-138196.53643294773</v>
      </c>
      <c r="F32" s="17" t="s">
        <v>3</v>
      </c>
      <c r="G32" s="1"/>
    </row>
    <row r="33" spans="1:7" x14ac:dyDescent="0.25">
      <c r="A33" s="1"/>
      <c r="B33" s="105"/>
      <c r="C33" s="106"/>
      <c r="D33" s="106"/>
      <c r="E33" s="106"/>
      <c r="F33" s="10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05" t="s">
        <v>180</v>
      </c>
      <c r="C36" s="106"/>
      <c r="D36" s="106"/>
      <c r="E36" s="106"/>
      <c r="F36" s="107"/>
      <c r="G36" s="1"/>
    </row>
    <row r="37" spans="1:7" x14ac:dyDescent="0.25">
      <c r="A37" s="1"/>
      <c r="B37" s="116" t="s">
        <v>53</v>
      </c>
      <c r="C37" s="117"/>
      <c r="D37" s="118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16" t="s">
        <v>185</v>
      </c>
      <c r="C38" s="117"/>
      <c r="D38" s="118"/>
      <c r="E38" s="9">
        <v>2</v>
      </c>
      <c r="F38" s="14" t="s">
        <v>27</v>
      </c>
      <c r="G38" s="1"/>
    </row>
    <row r="39" spans="1:7" ht="15" customHeight="1" x14ac:dyDescent="0.25">
      <c r="A39" s="1"/>
      <c r="B39" s="102" t="s">
        <v>227</v>
      </c>
      <c r="C39" s="103"/>
      <c r="D39" s="104"/>
      <c r="E39" s="10">
        <f>E37/E38</f>
        <v>0</v>
      </c>
      <c r="F39" s="17" t="s">
        <v>3</v>
      </c>
      <c r="G39" s="1"/>
    </row>
    <row r="40" spans="1:7" x14ac:dyDescent="0.25">
      <c r="A40" s="1"/>
      <c r="B40" s="105"/>
      <c r="C40" s="106"/>
      <c r="D40" s="106"/>
      <c r="E40" s="106"/>
      <c r="F40" s="10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2LRAbT/7ylrB8GLm6po1mf6xXHQfl8DjgbzoCZWiSdd6d46SuGMPRa9le4zbdNJqFAtAKgJ1Q1dfhymS9KGqJg==" saltValue="E8qZaKLgZEjwMUgG/d9coQ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6" t="s">
        <v>228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5" t="s">
        <v>159</v>
      </c>
      <c r="C8" s="106"/>
      <c r="D8" s="106"/>
      <c r="E8" s="106"/>
      <c r="F8" s="106"/>
      <c r="G8" s="1"/>
    </row>
    <row r="9" spans="1:7" ht="29.25" customHeight="1" x14ac:dyDescent="0.25">
      <c r="A9" s="1"/>
      <c r="B9" s="96" t="s">
        <v>164</v>
      </c>
      <c r="C9" s="97"/>
      <c r="D9" s="98"/>
      <c r="E9" s="10">
        <f>IF((('Fane 3. Omkostninger i ØR2019'!E31+'Fane 3. Omkostninger i ØR2019'!E35)-('Fane 3. Omkostninger i ØR2019'!E31+'Fane 3. Omkostninger i ØR2019'!E35)/(1+'Fane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ØR2019'!E31+'Fane 3. Omkostninger i ØR2019'!E35)-('Fane 3. Omkostninger i ØR2019'!E31+'Fane 3. Omkostninger i ØR2019'!E35)/(1+'Fane 14. Nøgletal'!C11)^2)+('Fane 7. Kontrol af ØR2018'!E9*(1+'Fane 14. Nøgletal'!C10)-'Fane 7. Kontrol af ØR2018'!E9*(1+'Fane 14. Nøgletal'!C10)/(1+'Fane 14. Nøgletal'!C10))/2),0)</f>
        <v>31935.51480360725</v>
      </c>
      <c r="F9" s="11" t="s">
        <v>3</v>
      </c>
      <c r="G9" s="1"/>
    </row>
    <row r="10" spans="1:7" x14ac:dyDescent="0.25">
      <c r="A10" s="1"/>
      <c r="B10" s="48" t="s">
        <v>175</v>
      </c>
      <c r="C10" s="49"/>
      <c r="D10" s="49"/>
      <c r="E10" s="12">
        <f>E9</f>
        <v>31935.51480360725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rQ/Rsd9kBsEVi6kPQL60OuqE+cmyXKj1Pi4gPILZp2djIzttHOU8q5alIn35usCGi2uUc/c0BYNr5+uWqe6CQA==" saltValue="68AoA4L64RXz2JJdqE2M7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229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5" t="s">
        <v>230</v>
      </c>
      <c r="C8" s="106"/>
      <c r="D8" s="106"/>
      <c r="E8" s="106"/>
      <c r="F8" s="106"/>
      <c r="G8" s="106"/>
      <c r="H8" s="10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5"/>
      <c r="I9" s="1"/>
    </row>
    <row r="10" spans="1:9" ht="39" x14ac:dyDescent="0.25">
      <c r="A10" s="1"/>
      <c r="B10" s="39" t="s">
        <v>234</v>
      </c>
      <c r="C10" s="40">
        <v>10</v>
      </c>
      <c r="D10" s="9">
        <v>2121111.9700000002</v>
      </c>
      <c r="E10" s="9">
        <f>IFERROR(D10/C10,0)</f>
        <v>212111.19700000001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05" t="s">
        <v>231</v>
      </c>
      <c r="C11" s="106"/>
      <c r="D11" s="107"/>
      <c r="E11" s="12">
        <f>SUM(E10:E10)</f>
        <v>212111.19700000001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Ns+mQaPBPOf3yYUx6zV3GmiJMVmPHEuKk4t9o9JTqPC3icpySGW6XTCi8QtcZm936Md2CbMrApIPe51g6ekVXA==" saltValue="ms2dULZj8hsHlxAWtr8Ck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206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8" t="s">
        <v>137</v>
      </c>
      <c r="C8" s="49"/>
      <c r="D8" s="49"/>
      <c r="E8" s="49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5"/>
      <c r="G9" s="1"/>
    </row>
    <row r="10" spans="1:7" x14ac:dyDescent="0.25">
      <c r="A10" s="1"/>
      <c r="B10" s="27" t="s">
        <v>235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212111.19700000001</v>
      </c>
      <c r="F10" s="14" t="s">
        <v>3</v>
      </c>
      <c r="G10" s="1"/>
    </row>
    <row r="11" spans="1:7" x14ac:dyDescent="0.25">
      <c r="A11" s="1"/>
      <c r="B11" s="41" t="s">
        <v>240</v>
      </c>
      <c r="C11" s="24">
        <v>0</v>
      </c>
      <c r="D11" s="14" t="s">
        <v>3</v>
      </c>
      <c r="E11" s="9">
        <v>5310</v>
      </c>
      <c r="F11" s="14" t="s">
        <v>3</v>
      </c>
      <c r="G11" s="1"/>
    </row>
    <row r="12" spans="1:7" x14ac:dyDescent="0.25">
      <c r="A12" s="1"/>
      <c r="B12" s="41" t="s">
        <v>246</v>
      </c>
      <c r="C12" s="24">
        <v>53023</v>
      </c>
      <c r="D12" s="14" t="s">
        <v>3</v>
      </c>
      <c r="E12" s="9">
        <v>13132</v>
      </c>
      <c r="F12" s="14" t="s">
        <v>3</v>
      </c>
      <c r="G12" s="1"/>
    </row>
    <row r="13" spans="1:7" x14ac:dyDescent="0.25">
      <c r="A13" s="1"/>
      <c r="B13" s="48" t="s">
        <v>63</v>
      </c>
      <c r="C13" s="12">
        <f>SUM(C10:C12)</f>
        <v>53023</v>
      </c>
      <c r="D13" s="13" t="s">
        <v>3</v>
      </c>
      <c r="E13" s="12">
        <f>SUM(E10:E12)</f>
        <v>230553.19700000001</v>
      </c>
      <c r="F13" s="13" t="s">
        <v>3</v>
      </c>
      <c r="G13" s="1"/>
    </row>
    <row r="14" spans="1:7" x14ac:dyDescent="0.25">
      <c r="A14" s="1"/>
      <c r="B14" s="48" t="s">
        <v>74</v>
      </c>
      <c r="C14" s="12">
        <f>C13*(1+'Fane 14. Nøgletal'!C12)</f>
        <v>54067.553100000005</v>
      </c>
      <c r="D14" s="13" t="s">
        <v>3</v>
      </c>
      <c r="E14" s="12">
        <f>E13*(1+'Fane 14. Nøgletal'!C12)</f>
        <v>235095.09498090003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gqM/Fu/Pvbwa4eYDu3dBpOo2QWpqnNDqDNakbZTkNfcUbVrAH+D7MHIScHUZeOPHj0G6Y+LlzixpM7YpRrRFjg==" saltValue="nWR8vJpCoDnjrq0Aow9h7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6" t="s">
        <v>207</v>
      </c>
      <c r="C3" s="76"/>
      <c r="D3" s="76"/>
      <c r="E3" s="76"/>
      <c r="F3" s="76"/>
      <c r="G3" s="1"/>
    </row>
    <row r="4" spans="1:7" ht="15" customHeight="1" x14ac:dyDescent="0.25">
      <c r="A4" s="1"/>
      <c r="B4" s="76"/>
      <c r="C4" s="76"/>
      <c r="D4" s="76"/>
      <c r="E4" s="76"/>
      <c r="F4" s="7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5" t="s">
        <v>168</v>
      </c>
      <c r="C8" s="106"/>
      <c r="D8" s="106"/>
      <c r="E8" s="106"/>
      <c r="F8" s="10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5"/>
      <c r="G9" s="1"/>
    </row>
    <row r="10" spans="1:7" x14ac:dyDescent="0.25">
      <c r="A10" s="1"/>
      <c r="B10" s="27" t="s">
        <v>240</v>
      </c>
      <c r="C10" s="24">
        <v>140452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8" t="s">
        <v>172</v>
      </c>
      <c r="C11" s="12">
        <f>SUM(C10:C10)</f>
        <v>140452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-218.38622873542462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-2809.04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48" t="s">
        <v>173</v>
      </c>
      <c r="C14" s="12">
        <f>SUM(C11:C13)*(1+'Fane 14. Nøgletal'!C12)^2</f>
        <v>142892.43508068731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05" t="s">
        <v>169</v>
      </c>
      <c r="C16" s="106"/>
      <c r="D16" s="106"/>
      <c r="E16" s="106"/>
      <c r="F16" s="10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5"/>
      <c r="G17" s="1"/>
    </row>
    <row r="18" spans="1:7" x14ac:dyDescent="0.25">
      <c r="A18" s="1"/>
      <c r="B18" s="27" t="s">
        <v>241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8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48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05" t="s">
        <v>170</v>
      </c>
      <c r="C24" s="106"/>
      <c r="D24" s="106"/>
      <c r="E24" s="106"/>
      <c r="F24" s="10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5"/>
      <c r="G25" s="1"/>
    </row>
    <row r="26" spans="1:7" x14ac:dyDescent="0.25">
      <c r="A26" s="1"/>
      <c r="B26" s="27" t="s">
        <v>241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8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48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05" t="s">
        <v>171</v>
      </c>
      <c r="C32" s="106"/>
      <c r="D32" s="106"/>
      <c r="E32" s="106"/>
      <c r="F32" s="10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5"/>
      <c r="G33" s="1"/>
    </row>
    <row r="34" spans="1:7" x14ac:dyDescent="0.25">
      <c r="A34" s="1"/>
      <c r="B34" s="27" t="s">
        <v>241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8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48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LJ1hqTgWMLpnW/DRSl7nEeFAz6vIzp4h2StAFAfxIpLqT/0x5grXvqndKbPFJbC3xL1he4XbbHAyQkQnJp0YWA==" saltValue="ylL8cmFJc1v7TUFRh3QRl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208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5" t="s">
        <v>31</v>
      </c>
      <c r="C8" s="106"/>
      <c r="D8" s="106"/>
      <c r="E8" s="106"/>
      <c r="F8" s="107"/>
      <c r="G8" s="1"/>
    </row>
    <row r="9" spans="1:7" ht="15" customHeight="1" x14ac:dyDescent="0.25">
      <c r="A9" s="1"/>
      <c r="B9" s="44" t="s">
        <v>32</v>
      </c>
      <c r="C9" s="96" t="s">
        <v>16</v>
      </c>
      <c r="D9" s="98"/>
      <c r="E9" s="96" t="s">
        <v>47</v>
      </c>
      <c r="F9" s="9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u50+daQ19WEOJXLFEuJu/MNiYNOv2UPHBwOMuGeAAKtGD/PkpiafroNsijJV+kDEG6bAfvInM79KZ51OdbizdQ==" saltValue="1qZ67Eq6/AViOlBcD943K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209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05" t="s">
        <v>156</v>
      </c>
      <c r="C8" s="106"/>
      <c r="D8" s="106"/>
      <c r="E8" s="106"/>
      <c r="F8" s="107"/>
      <c r="G8" s="1"/>
    </row>
    <row r="9" spans="1:7" ht="15" customHeight="1" x14ac:dyDescent="0.25">
      <c r="A9" s="1"/>
      <c r="B9" s="44" t="s">
        <v>25</v>
      </c>
      <c r="C9" s="44" t="s">
        <v>16</v>
      </c>
      <c r="D9" s="45"/>
      <c r="E9" s="44" t="s">
        <v>47</v>
      </c>
      <c r="F9" s="45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8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8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05" t="s">
        <v>157</v>
      </c>
      <c r="C15" s="106"/>
      <c r="D15" s="106"/>
      <c r="E15" s="106"/>
      <c r="F15" s="107"/>
      <c r="G15" s="1"/>
    </row>
    <row r="16" spans="1:7" ht="26.25" x14ac:dyDescent="0.25">
      <c r="A16" s="1"/>
      <c r="B16" s="44" t="s">
        <v>25</v>
      </c>
      <c r="C16" s="44" t="s">
        <v>16</v>
      </c>
      <c r="D16" s="45"/>
      <c r="E16" s="44" t="s">
        <v>47</v>
      </c>
      <c r="F16" s="45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8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8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05" t="s">
        <v>155</v>
      </c>
      <c r="C22" s="106"/>
      <c r="D22" s="106"/>
      <c r="E22" s="106"/>
      <c r="F22" s="107"/>
      <c r="G22" s="1"/>
    </row>
    <row r="23" spans="1:7" ht="26.25" x14ac:dyDescent="0.25">
      <c r="A23" s="1"/>
      <c r="B23" s="44" t="s">
        <v>25</v>
      </c>
      <c r="C23" s="44" t="s">
        <v>16</v>
      </c>
      <c r="D23" s="45"/>
      <c r="E23" s="44" t="s">
        <v>47</v>
      </c>
      <c r="F23" s="45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8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8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05" t="s">
        <v>158</v>
      </c>
      <c r="C29" s="106"/>
      <c r="D29" s="106"/>
      <c r="E29" s="106"/>
      <c r="F29" s="107"/>
      <c r="G29" s="1"/>
    </row>
    <row r="30" spans="1:7" ht="26.25" x14ac:dyDescent="0.25">
      <c r="A30" s="1"/>
      <c r="B30" s="44" t="s">
        <v>25</v>
      </c>
      <c r="C30" s="44" t="s">
        <v>16</v>
      </c>
      <c r="D30" s="45"/>
      <c r="E30" s="44" t="s">
        <v>47</v>
      </c>
      <c r="F30" s="45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8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8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OFc/IonAatTPUi6tHvDaOAkKJzzwiO5uzZnHIbwpatAnDDxSHTl1TX7QoMpeuEAwmBFeoWEQFFQyk0jnOnlc2A==" saltValue="GxaNteslNCTNGYBhfahIu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210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5" t="s">
        <v>18</v>
      </c>
      <c r="C8" s="106"/>
      <c r="D8" s="106"/>
      <c r="E8" s="106"/>
      <c r="F8" s="106"/>
      <c r="G8" s="106"/>
      <c r="H8" s="107"/>
      <c r="I8" s="1"/>
    </row>
    <row r="9" spans="1:9" x14ac:dyDescent="0.25">
      <c r="A9" s="1"/>
      <c r="B9" s="108" t="s">
        <v>12</v>
      </c>
      <c r="C9" s="109"/>
      <c r="D9" s="109"/>
      <c r="E9" s="109"/>
      <c r="F9" s="110"/>
      <c r="G9" s="9">
        <v>-12026468</v>
      </c>
      <c r="H9" s="14" t="s">
        <v>3</v>
      </c>
      <c r="I9" s="1"/>
    </row>
    <row r="10" spans="1:9" x14ac:dyDescent="0.25">
      <c r="A10" s="1"/>
      <c r="B10" s="108" t="s">
        <v>135</v>
      </c>
      <c r="C10" s="109"/>
      <c r="D10" s="109"/>
      <c r="E10" s="109"/>
      <c r="F10" s="110"/>
      <c r="G10" s="9">
        <v>0</v>
      </c>
      <c r="H10" s="14" t="s">
        <v>3</v>
      </c>
      <c r="I10" s="1"/>
    </row>
    <row r="11" spans="1:9" x14ac:dyDescent="0.25">
      <c r="A11" s="1"/>
      <c r="B11" s="108" t="s">
        <v>80</v>
      </c>
      <c r="C11" s="109"/>
      <c r="D11" s="109"/>
      <c r="E11" s="109"/>
      <c r="F11" s="110"/>
      <c r="G11" s="9">
        <v>10844412</v>
      </c>
      <c r="H11" s="14" t="s">
        <v>3</v>
      </c>
      <c r="I11" s="1"/>
    </row>
    <row r="12" spans="1:9" x14ac:dyDescent="0.25">
      <c r="A12" s="1"/>
      <c r="B12" s="119" t="s">
        <v>15</v>
      </c>
      <c r="C12" s="120"/>
      <c r="D12" s="120"/>
      <c r="E12" s="120"/>
      <c r="F12" s="121"/>
      <c r="G12" s="19">
        <f>(G9+G10)+G11</f>
        <v>-1182056</v>
      </c>
      <c r="H12" s="18" t="s">
        <v>3</v>
      </c>
      <c r="I12" s="1"/>
    </row>
    <row r="13" spans="1:9" x14ac:dyDescent="0.25">
      <c r="A13" s="1"/>
      <c r="B13" s="108" t="s">
        <v>13</v>
      </c>
      <c r="C13" s="109"/>
      <c r="D13" s="109"/>
      <c r="E13" s="109"/>
      <c r="F13" s="110"/>
      <c r="G13" s="9">
        <v>1</v>
      </c>
      <c r="H13" s="14" t="s">
        <v>27</v>
      </c>
      <c r="I13" s="1"/>
    </row>
    <row r="14" spans="1:9" x14ac:dyDescent="0.25">
      <c r="A14" s="1"/>
      <c r="B14" s="105" t="s">
        <v>136</v>
      </c>
      <c r="C14" s="106"/>
      <c r="D14" s="106"/>
      <c r="E14" s="106"/>
      <c r="F14" s="107"/>
      <c r="G14" s="12">
        <f>IF(G13 = 0,0,-G12/G13)</f>
        <v>1182056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ro2kNKmfYjYRdZfxCE/IpDS4hWC7w4KTruYMAzhQGFDOweHxqtOj7Jj01s+pJ+OC02Bf0aKgVxTO395j7VLEyg==" saltValue="Mxzp1+MdOnAbJJTZSm1lF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6" t="s">
        <v>54</v>
      </c>
      <c r="C3" s="86"/>
      <c r="D3" s="1"/>
    </row>
    <row r="4" spans="1:4" ht="25.5" customHeight="1" x14ac:dyDescent="0.25">
      <c r="A4" s="1"/>
      <c r="B4" s="86"/>
      <c r="C4" s="86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8" t="s">
        <v>21</v>
      </c>
      <c r="C8" s="22"/>
      <c r="D8" s="1"/>
    </row>
    <row r="9" spans="1:4" x14ac:dyDescent="0.25">
      <c r="A9" s="1"/>
      <c r="B9" s="53" t="s">
        <v>211</v>
      </c>
      <c r="C9" s="28">
        <v>1.2699999999999999E-2</v>
      </c>
      <c r="D9" s="1"/>
    </row>
    <row r="10" spans="1:4" x14ac:dyDescent="0.25">
      <c r="A10" s="1"/>
      <c r="B10" s="53" t="s">
        <v>30</v>
      </c>
      <c r="C10" s="28">
        <v>1.7500000000000002E-2</v>
      </c>
      <c r="D10" s="1"/>
    </row>
    <row r="11" spans="1:4" x14ac:dyDescent="0.25">
      <c r="A11" s="1"/>
      <c r="B11" s="53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105"/>
      <c r="C13" s="10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8" t="s">
        <v>181</v>
      </c>
      <c r="C16" s="22"/>
      <c r="D16" s="1"/>
    </row>
    <row r="17" spans="1:4" x14ac:dyDescent="0.25">
      <c r="A17" s="1"/>
      <c r="B17" s="53" t="s">
        <v>213</v>
      </c>
      <c r="C17" s="25">
        <v>9.1000000000000004E-3</v>
      </c>
      <c r="D17" s="1"/>
    </row>
    <row r="18" spans="1:4" x14ac:dyDescent="0.25">
      <c r="A18" s="1"/>
      <c r="B18" s="53" t="s">
        <v>214</v>
      </c>
      <c r="C18" s="25">
        <v>1.77E-2</v>
      </c>
      <c r="D18" s="1"/>
    </row>
    <row r="19" spans="1:4" x14ac:dyDescent="0.25">
      <c r="A19" s="1"/>
      <c r="B19" s="53" t="s">
        <v>215</v>
      </c>
      <c r="C19" s="25">
        <v>8.6999999999999994E-3</v>
      </c>
      <c r="D19" s="1"/>
    </row>
    <row r="20" spans="1:4" x14ac:dyDescent="0.25">
      <c r="A20" s="1"/>
      <c r="B20" s="53" t="s">
        <v>216</v>
      </c>
      <c r="C20" s="37">
        <v>2.8400000000000002E-2</v>
      </c>
      <c r="D20" s="1"/>
    </row>
    <row r="21" spans="1:4" x14ac:dyDescent="0.25">
      <c r="A21" s="1"/>
      <c r="B21" s="48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8" t="s">
        <v>182</v>
      </c>
      <c r="C24" s="22"/>
      <c r="D24" s="1"/>
    </row>
    <row r="25" spans="1:4" x14ac:dyDescent="0.25">
      <c r="A25" s="1"/>
      <c r="B25" s="53" t="s">
        <v>217</v>
      </c>
      <c r="C25" s="28">
        <v>0.02</v>
      </c>
      <c r="D25" s="1"/>
    </row>
    <row r="26" spans="1:4" x14ac:dyDescent="0.25">
      <c r="A26" s="1"/>
      <c r="B26" s="48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oY7gMD6PQ2uRkvRpCV1HzpsSn9/VWlrPFrzbg/ib0IWEuFWcUa/UWxMG/7r9b/600+2LlBptwcRcEhAuDXCWHw==" saltValue="gfRzfPndXUuG+gB7OWnj/Q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65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8" t="s">
        <v>20</v>
      </c>
      <c r="C8" s="49"/>
      <c r="D8" s="22"/>
      <c r="E8" s="1"/>
    </row>
    <row r="9" spans="1:5" x14ac:dyDescent="0.25">
      <c r="A9" s="1"/>
      <c r="B9" s="52" t="s">
        <v>34</v>
      </c>
      <c r="C9" s="7">
        <f>'Fane 3. Omkostninger i ØR2019'!E22</f>
        <v>26141215.912190799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tillæg'!C14</f>
        <v>54067.553100000005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tillæg'!E14</f>
        <v>235095.09498090003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447483.05308321817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-41791.892135485548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-292153.98926411744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-112890.22094974811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26431025.511005569</v>
      </c>
      <c r="D20" s="11" t="s">
        <v>3</v>
      </c>
      <c r="E20" s="1"/>
    </row>
    <row r="21" spans="1:5" ht="15" customHeight="1" x14ac:dyDescent="0.25">
      <c r="A21" s="1"/>
      <c r="B21" s="48" t="s">
        <v>17</v>
      </c>
      <c r="C21" s="49"/>
      <c r="D21" s="22"/>
      <c r="E21" s="1"/>
    </row>
    <row r="22" spans="1:5" ht="15" customHeight="1" x14ac:dyDescent="0.25">
      <c r="A22" s="1"/>
      <c r="B22" s="44" t="s">
        <v>17</v>
      </c>
      <c r="C22" s="10">
        <f>'Fane 6. Ikke-påvirkelige omk.'!C15</f>
        <v>13938108.757520311</v>
      </c>
      <c r="D22" s="11" t="s">
        <v>3</v>
      </c>
      <c r="E22" s="1"/>
    </row>
    <row r="23" spans="1:5" ht="15" customHeight="1" x14ac:dyDescent="0.25">
      <c r="A23" s="1"/>
      <c r="B23" s="48" t="s">
        <v>142</v>
      </c>
      <c r="C23" s="49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142892.43508068731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142892.43508068731</v>
      </c>
      <c r="D26" s="11" t="s">
        <v>3</v>
      </c>
      <c r="E26" s="1"/>
    </row>
    <row r="27" spans="1:5" x14ac:dyDescent="0.25">
      <c r="A27" s="1"/>
      <c r="B27" s="48" t="s">
        <v>11</v>
      </c>
      <c r="C27" s="49"/>
      <c r="D27" s="22"/>
      <c r="E27" s="1"/>
    </row>
    <row r="28" spans="1:5" ht="15" customHeight="1" x14ac:dyDescent="0.25">
      <c r="A28" s="1"/>
      <c r="B28" s="44" t="s">
        <v>19</v>
      </c>
      <c r="C28" s="10">
        <f>'Fane 13. Hist. over-underdæk.'!G14</f>
        <v>1182056</v>
      </c>
      <c r="D28" s="11" t="s">
        <v>3</v>
      </c>
      <c r="E28" s="1"/>
    </row>
    <row r="29" spans="1:5" ht="15" customHeight="1" x14ac:dyDescent="0.25">
      <c r="A29" s="1"/>
      <c r="B29" s="48" t="s">
        <v>53</v>
      </c>
      <c r="C29" s="49"/>
      <c r="D29" s="22"/>
      <c r="E29" s="1"/>
    </row>
    <row r="30" spans="1:5" x14ac:dyDescent="0.25">
      <c r="A30" s="1"/>
      <c r="B30" s="44" t="s">
        <v>218</v>
      </c>
      <c r="C30" s="10">
        <f>'Fane 7. Kontrol af ØR2018'!E32</f>
        <v>-138196.53643294773</v>
      </c>
      <c r="D30" s="11" t="s">
        <v>3</v>
      </c>
      <c r="E30" s="1"/>
    </row>
    <row r="31" spans="1:5" x14ac:dyDescent="0.25">
      <c r="A31" s="1"/>
      <c r="B31" s="48" t="s">
        <v>225</v>
      </c>
      <c r="C31" s="49"/>
      <c r="D31" s="22"/>
      <c r="E31" s="1"/>
    </row>
    <row r="32" spans="1:5" x14ac:dyDescent="0.25">
      <c r="A32" s="1"/>
      <c r="B32" s="44" t="s">
        <v>226</v>
      </c>
      <c r="C32" s="10">
        <f>'Fane 8. Korrektioner'!E10</f>
        <v>31935.51480360725</v>
      </c>
      <c r="D32" s="11" t="s">
        <v>3</v>
      </c>
      <c r="E32" s="1"/>
    </row>
    <row r="33" spans="1:5" x14ac:dyDescent="0.25">
      <c r="A33" s="1"/>
      <c r="B33" s="48" t="s">
        <v>35</v>
      </c>
      <c r="C33" s="33">
        <f>SUM(C20,C22,C26,C28,C30,C32)</f>
        <v>41587821.681977235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6rooSZz6nghEIMUwheZDIYVLWDjLoJZkwVXH/ZsDGY/I/kxaGnkeMQm7tQPrlNP6STJ1QuckQXtasf2RduaUjQ==" saltValue="46m5p7SBNFny5Y2WWUYEM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85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77" t="s">
        <v>29</v>
      </c>
      <c r="C5" s="77"/>
      <c r="D5" s="7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8" t="s">
        <v>20</v>
      </c>
      <c r="C8" s="49"/>
      <c r="D8" s="22"/>
      <c r="E8" s="1"/>
    </row>
    <row r="9" spans="1:5" ht="15" customHeight="1" x14ac:dyDescent="0.25">
      <c r="A9" s="1"/>
      <c r="B9" s="52" t="s">
        <v>36</v>
      </c>
      <c r="C9" s="7">
        <f>'Fane 2.1. Økonomisk ramme 2020'!C20</f>
        <v>26431025.511005569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42" t="s">
        <v>26</v>
      </c>
      <c r="C12" s="9">
        <f>SUM(C9:C11)*'Fane 14. Nøgletal'!C12</f>
        <v>520691.20256680966</v>
      </c>
      <c r="D12" s="8" t="s">
        <v>3</v>
      </c>
      <c r="E12" s="1"/>
    </row>
    <row r="13" spans="1:5" ht="15" customHeight="1" x14ac:dyDescent="0.25">
      <c r="A13" s="1"/>
      <c r="B13" s="42" t="s">
        <v>10</v>
      </c>
      <c r="C13" s="9">
        <f>-SUM(C9:C12)*'Fane 5. Individuelt eff. krav'!G10</f>
        <v>-41906.728070960788</v>
      </c>
      <c r="D13" s="8" t="s">
        <v>3</v>
      </c>
      <c r="E13" s="1"/>
    </row>
    <row r="14" spans="1:5" ht="15" customHeight="1" x14ac:dyDescent="0.25">
      <c r="A14" s="1"/>
      <c r="B14" s="42" t="s">
        <v>38</v>
      </c>
      <c r="C14" s="9">
        <f>-'Fane 4.1. Gen. krav - drift'!G32</f>
        <v>-291951.23439556814</v>
      </c>
      <c r="D14" s="8" t="s">
        <v>3</v>
      </c>
      <c r="E14" s="1"/>
    </row>
    <row r="15" spans="1:5" ht="15" customHeight="1" x14ac:dyDescent="0.25">
      <c r="A15" s="1"/>
      <c r="B15" s="42" t="s">
        <v>39</v>
      </c>
      <c r="C15" s="9">
        <f>-'Fane 4.2. Gen. krav - anlæg'!G31</f>
        <v>-356785.66878183134</v>
      </c>
      <c r="D15" s="8" t="s">
        <v>3</v>
      </c>
      <c r="E15" s="1"/>
    </row>
    <row r="16" spans="1:5" ht="15" customHeight="1" x14ac:dyDescent="0.25">
      <c r="A16" s="1"/>
      <c r="B16" s="43" t="s">
        <v>28</v>
      </c>
      <c r="C16" s="10">
        <f>SUM(C9:C15)</f>
        <v>26261073.082324021</v>
      </c>
      <c r="D16" s="11" t="s">
        <v>3</v>
      </c>
      <c r="E16" s="1"/>
    </row>
    <row r="17" spans="1:5" x14ac:dyDescent="0.25">
      <c r="A17" s="1"/>
      <c r="B17" s="48" t="s">
        <v>17</v>
      </c>
      <c r="C17" s="49"/>
      <c r="D17" s="22"/>
      <c r="E17" s="1"/>
    </row>
    <row r="18" spans="1:5" ht="15" customHeight="1" x14ac:dyDescent="0.25">
      <c r="A18" s="1"/>
      <c r="B18" s="44" t="s">
        <v>17</v>
      </c>
      <c r="C18" s="10">
        <f>'Fane 6. Ikke-påvirkelige omk.'!C15*(1+'Fane 14. Nøgletal'!C12)</f>
        <v>14212689.500043461</v>
      </c>
      <c r="D18" s="11" t="s">
        <v>3</v>
      </c>
      <c r="E18" s="1"/>
    </row>
    <row r="19" spans="1:5" ht="15" customHeight="1" x14ac:dyDescent="0.25">
      <c r="A19" s="1"/>
      <c r="B19" s="48" t="s">
        <v>142</v>
      </c>
      <c r="C19" s="49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8" t="s">
        <v>160</v>
      </c>
      <c r="C23" s="49"/>
      <c r="D23" s="22"/>
      <c r="E23" s="1"/>
    </row>
    <row r="24" spans="1:5" ht="15" customHeight="1" x14ac:dyDescent="0.25">
      <c r="A24" s="1"/>
      <c r="B24" s="44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48" t="s">
        <v>44</v>
      </c>
      <c r="C25" s="12">
        <f>SUM(C16,C18,C22,C24)</f>
        <v>40473762.58236748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gguVqeugBHClCZG0N57Em1so+hY+vt+55y9f0n5MnHW8LveSCvNsHI4h4FIVCu0If7xWB6fbgcKTnWxQPB3q7g==" saltValue="MlYq+V7mM1PFYdQY1YWvV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193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77" t="s">
        <v>29</v>
      </c>
      <c r="C5" s="77"/>
      <c r="D5" s="7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8" t="s">
        <v>20</v>
      </c>
      <c r="C7" s="49"/>
      <c r="D7" s="22"/>
      <c r="E7" s="1"/>
    </row>
    <row r="8" spans="1:5" ht="15" customHeight="1" x14ac:dyDescent="0.25">
      <c r="A8" s="1"/>
      <c r="B8" s="52" t="s">
        <v>37</v>
      </c>
      <c r="C8" s="7">
        <f>'Fane 2.2. Økonomisk ramme 2021'!C16</f>
        <v>26261073.082324021</v>
      </c>
      <c r="D8" s="8" t="s">
        <v>3</v>
      </c>
      <c r="E8" s="1"/>
    </row>
    <row r="9" spans="1:5" ht="15" customHeight="1" x14ac:dyDescent="0.25">
      <c r="A9" s="1"/>
      <c r="B9" s="52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52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42" t="s">
        <v>26</v>
      </c>
      <c r="C11" s="9">
        <f>SUM(C8:C10)*'Fane 14. Nøgletal'!C12</f>
        <v>517343.13972178317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krav'!G10</f>
        <v>-41637.266327571699</v>
      </c>
      <c r="D12" s="8" t="s">
        <v>3</v>
      </c>
      <c r="E12" s="1"/>
    </row>
    <row r="13" spans="1:5" ht="15" customHeight="1" x14ac:dyDescent="0.25">
      <c r="A13" s="1"/>
      <c r="B13" s="42" t="s">
        <v>38</v>
      </c>
      <c r="C13" s="9">
        <f>-'Fane 4.1. Gen. krav - drift'!G38</f>
        <v>-291748.62023889768</v>
      </c>
      <c r="D13" s="8" t="s">
        <v>3</v>
      </c>
      <c r="E13" s="1"/>
    </row>
    <row r="14" spans="1:5" ht="15" customHeight="1" x14ac:dyDescent="0.25">
      <c r="A14" s="1"/>
      <c r="B14" s="42" t="s">
        <v>39</v>
      </c>
      <c r="C14" s="9">
        <f>-'Fane 4.2. Gen. krav - anlæg'!G37</f>
        <v>-353482.01901745936</v>
      </c>
      <c r="D14" s="8" t="s">
        <v>3</v>
      </c>
      <c r="E14" s="1"/>
    </row>
    <row r="15" spans="1:5" x14ac:dyDescent="0.25">
      <c r="A15" s="1"/>
      <c r="B15" s="43" t="s">
        <v>28</v>
      </c>
      <c r="C15" s="10">
        <f>SUM(C8:C14)</f>
        <v>26091548.31646188</v>
      </c>
      <c r="D15" s="11" t="s">
        <v>3</v>
      </c>
      <c r="E15" s="1"/>
    </row>
    <row r="16" spans="1:5" x14ac:dyDescent="0.25">
      <c r="A16" s="1"/>
      <c r="B16" s="48" t="s">
        <v>17</v>
      </c>
      <c r="C16" s="49"/>
      <c r="D16" s="22"/>
      <c r="E16" s="1"/>
    </row>
    <row r="17" spans="1:5" ht="15" customHeight="1" x14ac:dyDescent="0.25">
      <c r="A17" s="1"/>
      <c r="B17" s="44" t="s">
        <v>17</v>
      </c>
      <c r="C17" s="10">
        <f>'Fane 6. Ikke-påvirkelige omk.'!C15*(1+'Fane 14. Nøgletal'!C12)^2</f>
        <v>14492679.483194318</v>
      </c>
      <c r="D17" s="11" t="s">
        <v>3</v>
      </c>
      <c r="E17" s="1"/>
    </row>
    <row r="18" spans="1:5" ht="15" customHeight="1" x14ac:dyDescent="0.25">
      <c r="A18" s="1"/>
      <c r="B18" s="48" t="s">
        <v>142</v>
      </c>
      <c r="C18" s="49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8" t="s">
        <v>160</v>
      </c>
      <c r="C22" s="49"/>
      <c r="D22" s="22"/>
      <c r="E22" s="1"/>
    </row>
    <row r="23" spans="1:5" ht="15" customHeight="1" x14ac:dyDescent="0.25">
      <c r="A23" s="1"/>
      <c r="B23" s="44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48" t="s">
        <v>45</v>
      </c>
      <c r="C24" s="12">
        <f>SUM(C15,C17,C21,C23)</f>
        <v>40584227.799656197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yulRHAZlFdrwUOOxl1Ko2/nCKuxaV0BkSEhcaWW6EpHeVDRRZ9056K+1r1yVAMWmq3R93Zt3rHTCynAtUfuaRQ==" saltValue="s5NeySFQ1UtBcI/O9krrL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6" t="s">
        <v>194</v>
      </c>
      <c r="C3" s="76"/>
      <c r="D3" s="76"/>
      <c r="E3" s="1"/>
    </row>
    <row r="4" spans="1:5" ht="15" customHeight="1" x14ac:dyDescent="0.25">
      <c r="A4" s="1"/>
      <c r="B4" s="76"/>
      <c r="C4" s="76"/>
      <c r="D4" s="76"/>
      <c r="E4" s="1"/>
    </row>
    <row r="5" spans="1:5" x14ac:dyDescent="0.25">
      <c r="A5" s="1"/>
      <c r="B5" s="77" t="s">
        <v>29</v>
      </c>
      <c r="C5" s="77"/>
      <c r="D5" s="7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8" t="s">
        <v>20</v>
      </c>
      <c r="C7" s="49"/>
      <c r="D7" s="22"/>
      <c r="E7" s="1"/>
    </row>
    <row r="8" spans="1:5" ht="15" customHeight="1" x14ac:dyDescent="0.25">
      <c r="A8" s="1"/>
      <c r="B8" s="52" t="s">
        <v>245</v>
      </c>
      <c r="C8" s="7">
        <f>'Fane 2.3. Økonomisk ramme 2022'!C15</f>
        <v>26091548.31646188</v>
      </c>
      <c r="D8" s="8" t="s">
        <v>3</v>
      </c>
      <c r="E8" s="1"/>
    </row>
    <row r="9" spans="1:5" ht="15" customHeight="1" x14ac:dyDescent="0.25">
      <c r="A9" s="1"/>
      <c r="B9" s="52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52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42" t="s">
        <v>26</v>
      </c>
      <c r="C11" s="9">
        <f>C8*'Fane 14. Nøgletal'!C12</f>
        <v>514003.50183429901</v>
      </c>
      <c r="D11" s="8" t="s">
        <v>3</v>
      </c>
      <c r="E11" s="1"/>
    </row>
    <row r="12" spans="1:5" ht="15" customHeight="1" x14ac:dyDescent="0.25">
      <c r="A12" s="1"/>
      <c r="B12" s="42" t="s">
        <v>10</v>
      </c>
      <c r="C12" s="9">
        <f>-SUM(C8:C11)*'Fane 5. Individuelt eff. krav'!G10</f>
        <v>-41368.482649037549</v>
      </c>
      <c r="D12" s="8" t="s">
        <v>3</v>
      </c>
      <c r="E12" s="1"/>
    </row>
    <row r="13" spans="1:5" ht="15" customHeight="1" x14ac:dyDescent="0.25">
      <c r="A13" s="1"/>
      <c r="B13" s="42" t="s">
        <v>38</v>
      </c>
      <c r="C13" s="9">
        <f>-'Fane 4.1. Gen. krav - drift'!G44</f>
        <v>-291546.14669645188</v>
      </c>
      <c r="D13" s="8" t="s">
        <v>3</v>
      </c>
      <c r="E13" s="1"/>
    </row>
    <row r="14" spans="1:5" ht="15" customHeight="1" x14ac:dyDescent="0.25">
      <c r="A14" s="1"/>
      <c r="B14" s="42" t="s">
        <v>39</v>
      </c>
      <c r="C14" s="9">
        <f>-'Fane 4.2. Gen. krav - anlæg'!G43</f>
        <v>-350208.95933200757</v>
      </c>
      <c r="D14" s="8" t="s">
        <v>3</v>
      </c>
      <c r="E14" s="1"/>
    </row>
    <row r="15" spans="1:5" x14ac:dyDescent="0.25">
      <c r="A15" s="1"/>
      <c r="B15" s="43" t="s">
        <v>28</v>
      </c>
      <c r="C15" s="10">
        <f>SUM(C8:C14)</f>
        <v>25922428.229618683</v>
      </c>
      <c r="D15" s="11" t="s">
        <v>3</v>
      </c>
      <c r="E15" s="1"/>
    </row>
    <row r="16" spans="1:5" x14ac:dyDescent="0.25">
      <c r="A16" s="1"/>
      <c r="B16" s="48" t="s">
        <v>17</v>
      </c>
      <c r="C16" s="49"/>
      <c r="D16" s="22"/>
      <c r="E16" s="1"/>
    </row>
    <row r="17" spans="1:5" ht="15" customHeight="1" x14ac:dyDescent="0.25">
      <c r="A17" s="1"/>
      <c r="B17" s="44" t="s">
        <v>17</v>
      </c>
      <c r="C17" s="10">
        <f>'Fane 6. Ikke-påvirkelige omk.'!C15*(1+'Fane 14. Nøgletal'!C12)^3</f>
        <v>14778185.269013245</v>
      </c>
      <c r="D17" s="11" t="s">
        <v>3</v>
      </c>
      <c r="E17" s="1"/>
    </row>
    <row r="18" spans="1:5" ht="15" customHeight="1" x14ac:dyDescent="0.25">
      <c r="A18" s="1"/>
      <c r="B18" s="48" t="s">
        <v>142</v>
      </c>
      <c r="C18" s="49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8" t="s">
        <v>154</v>
      </c>
      <c r="C22" s="12">
        <f>SUM(C15,C17,C21)</f>
        <v>40700613.498631924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MBdliLss6kbnDgvbn9Xp+kDrPvUtvMKwog0Ca9BFUE0dSA7c2DAqfzyXnHsMMLa/42Y9kZChy+gWPR2ZmqKoUg==" saltValue="CSmLGrY+XeM9BYL9JBSTF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221</v>
      </c>
      <c r="C3" s="86"/>
      <c r="D3" s="86"/>
      <c r="E3" s="86"/>
      <c r="F3" s="86"/>
      <c r="G3" s="1"/>
    </row>
    <row r="4" spans="1:7" ht="29.2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8" t="s">
        <v>84</v>
      </c>
      <c r="C8" s="49"/>
      <c r="D8" s="49"/>
      <c r="E8" s="49"/>
      <c r="F8" s="22"/>
      <c r="G8" s="1"/>
    </row>
    <row r="9" spans="1:7" x14ac:dyDescent="0.25">
      <c r="A9" s="1"/>
      <c r="B9" s="87" t="s">
        <v>81</v>
      </c>
      <c r="C9" s="88"/>
      <c r="D9" s="89"/>
      <c r="E9" s="7">
        <v>26118785.660408013</v>
      </c>
      <c r="F9" s="8" t="s">
        <v>3</v>
      </c>
      <c r="G9" s="1"/>
    </row>
    <row r="10" spans="1:7" x14ac:dyDescent="0.25">
      <c r="A10" s="1"/>
      <c r="B10" s="87" t="s">
        <v>82</v>
      </c>
      <c r="C10" s="88"/>
      <c r="D10" s="89"/>
      <c r="E10" s="7">
        <v>-172115.46687329558</v>
      </c>
      <c r="F10" s="8" t="s">
        <v>3</v>
      </c>
      <c r="G10" s="1"/>
    </row>
    <row r="11" spans="1:7" x14ac:dyDescent="0.25">
      <c r="A11" s="1"/>
      <c r="B11" s="87" t="s">
        <v>83</v>
      </c>
      <c r="C11" s="88"/>
      <c r="D11" s="89"/>
      <c r="E11" s="7">
        <v>180957.22346375856</v>
      </c>
      <c r="F11" s="8" t="s">
        <v>3</v>
      </c>
      <c r="G11" s="1"/>
    </row>
    <row r="12" spans="1:7" x14ac:dyDescent="0.25">
      <c r="A12" s="1"/>
      <c r="B12" s="78" t="s">
        <v>67</v>
      </c>
      <c r="C12" s="79"/>
      <c r="D12" s="80"/>
      <c r="E12" s="7">
        <v>0</v>
      </c>
      <c r="F12" s="8" t="s">
        <v>3</v>
      </c>
      <c r="G12" s="1"/>
    </row>
    <row r="13" spans="1:7" x14ac:dyDescent="0.25">
      <c r="A13" s="1"/>
      <c r="B13" s="78" t="s">
        <v>68</v>
      </c>
      <c r="C13" s="79"/>
      <c r="D13" s="80"/>
      <c r="E13" s="9">
        <v>10473.053099999999</v>
      </c>
      <c r="F13" s="8" t="s">
        <v>3</v>
      </c>
      <c r="G13" s="1"/>
    </row>
    <row r="14" spans="1:7" x14ac:dyDescent="0.25">
      <c r="A14" s="1"/>
      <c r="B14" s="78" t="s">
        <v>41</v>
      </c>
      <c r="C14" s="79"/>
      <c r="D14" s="80"/>
      <c r="E14" s="9">
        <v>0</v>
      </c>
      <c r="F14" s="8" t="s">
        <v>3</v>
      </c>
      <c r="G14" s="1"/>
    </row>
    <row r="15" spans="1:7" x14ac:dyDescent="0.25">
      <c r="A15" s="1"/>
      <c r="B15" s="78" t="s">
        <v>40</v>
      </c>
      <c r="C15" s="79"/>
      <c r="D15" s="80"/>
      <c r="E15" s="9">
        <v>0</v>
      </c>
      <c r="F15" s="8" t="s">
        <v>3</v>
      </c>
      <c r="G15" s="1"/>
    </row>
    <row r="16" spans="1:7" x14ac:dyDescent="0.25">
      <c r="A16" s="1"/>
      <c r="B16" s="78" t="s">
        <v>43</v>
      </c>
      <c r="C16" s="79"/>
      <c r="D16" s="80"/>
      <c r="E16" s="9">
        <v>0</v>
      </c>
      <c r="F16" s="8" t="s">
        <v>3</v>
      </c>
      <c r="G16" s="1"/>
    </row>
    <row r="17" spans="1:7" x14ac:dyDescent="0.25">
      <c r="A17" s="1"/>
      <c r="B17" s="78" t="s">
        <v>42</v>
      </c>
      <c r="C17" s="79"/>
      <c r="D17" s="80"/>
      <c r="E17" s="9">
        <v>0</v>
      </c>
      <c r="F17" s="8" t="s">
        <v>3</v>
      </c>
      <c r="G17" s="1"/>
    </row>
    <row r="18" spans="1:7" x14ac:dyDescent="0.25">
      <c r="A18" s="1"/>
      <c r="B18" s="78" t="s">
        <v>26</v>
      </c>
      <c r="C18" s="79"/>
      <c r="D18" s="80"/>
      <c r="E18" s="9">
        <f>SUM(E9:E17)*'Fane 14. Nøgletal'!C11</f>
        <v>441733.89794466423</v>
      </c>
      <c r="F18" s="8" t="s">
        <v>3</v>
      </c>
      <c r="G18" s="1"/>
    </row>
    <row r="19" spans="1:7" x14ac:dyDescent="0.25">
      <c r="A19" s="1"/>
      <c r="B19" s="78" t="s">
        <v>10</v>
      </c>
      <c r="C19" s="79"/>
      <c r="D19" s="80"/>
      <c r="E19" s="9">
        <f>-SUM(E9:E18)*'Fane 5. Individuelt eff. krav'!G10</f>
        <v>-41328.49505916021</v>
      </c>
      <c r="F19" s="8" t="s">
        <v>3</v>
      </c>
      <c r="G19" s="1"/>
    </row>
    <row r="20" spans="1:7" x14ac:dyDescent="0.25">
      <c r="A20" s="1"/>
      <c r="B20" s="78" t="s">
        <v>38</v>
      </c>
      <c r="C20" s="79"/>
      <c r="D20" s="80"/>
      <c r="E20" s="9">
        <f>-'Fane 4.1. Gen. krav - drift'!G20</f>
        <v>-292055.42212747032</v>
      </c>
      <c r="F20" s="8" t="s">
        <v>3</v>
      </c>
      <c r="G20" s="1"/>
    </row>
    <row r="21" spans="1:7" x14ac:dyDescent="0.25">
      <c r="A21" s="1"/>
      <c r="B21" s="78" t="s">
        <v>39</v>
      </c>
      <c r="C21" s="79"/>
      <c r="D21" s="80"/>
      <c r="E21" s="9">
        <f>-'Fane 4.2. Gen. krav - anlæg'!G19</f>
        <v>-105234.53866571182</v>
      </c>
      <c r="F21" s="8" t="s">
        <v>3</v>
      </c>
      <c r="G21" s="1"/>
    </row>
    <row r="22" spans="1:7" x14ac:dyDescent="0.25">
      <c r="A22" s="1"/>
      <c r="B22" s="93" t="s">
        <v>28</v>
      </c>
      <c r="C22" s="94"/>
      <c r="D22" s="95"/>
      <c r="E22" s="10">
        <f>SUM(E9:E21)</f>
        <v>26141215.912190799</v>
      </c>
      <c r="F22" s="11" t="s">
        <v>3</v>
      </c>
      <c r="G22" s="1"/>
    </row>
    <row r="23" spans="1:7" x14ac:dyDescent="0.25">
      <c r="A23" s="1"/>
      <c r="B23" s="81" t="s">
        <v>17</v>
      </c>
      <c r="C23" s="82"/>
      <c r="D23" s="82"/>
      <c r="E23" s="49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16179369.635539036</v>
      </c>
      <c r="F24" s="11" t="s">
        <v>3</v>
      </c>
      <c r="G24" s="1"/>
    </row>
    <row r="25" spans="1:7" x14ac:dyDescent="0.25">
      <c r="A25" s="1"/>
      <c r="B25" s="81" t="s">
        <v>142</v>
      </c>
      <c r="C25" s="82"/>
      <c r="D25" s="82"/>
      <c r="E25" s="49"/>
      <c r="F25" s="22"/>
      <c r="G25" s="1"/>
    </row>
    <row r="26" spans="1:7" x14ac:dyDescent="0.25">
      <c r="A26" s="1"/>
      <c r="B26" s="99" t="s">
        <v>138</v>
      </c>
      <c r="C26" s="100"/>
      <c r="D26" s="101"/>
      <c r="E26" s="9">
        <v>281487.40981248993</v>
      </c>
      <c r="F26" s="38" t="s">
        <v>3</v>
      </c>
      <c r="G26" s="1"/>
    </row>
    <row r="27" spans="1:7" x14ac:dyDescent="0.25">
      <c r="A27" s="1"/>
      <c r="B27" s="99" t="s">
        <v>139</v>
      </c>
      <c r="C27" s="100"/>
      <c r="D27" s="101"/>
      <c r="E27" s="9">
        <v>0</v>
      </c>
      <c r="F27" s="38" t="s">
        <v>3</v>
      </c>
      <c r="G27" s="1"/>
    </row>
    <row r="28" spans="1:7" x14ac:dyDescent="0.25">
      <c r="A28" s="1"/>
      <c r="B28" s="99" t="s">
        <v>242</v>
      </c>
      <c r="C28" s="100"/>
      <c r="D28" s="101"/>
      <c r="E28" s="9">
        <f>-(E26*'Fane 14. Nøgletal'!C25+E26*'Fane 5. Individuelt eff. krav'!G10)</f>
        <v>-6067.427786896088</v>
      </c>
      <c r="F28" s="38" t="s">
        <v>3</v>
      </c>
      <c r="G28" s="1"/>
    </row>
    <row r="29" spans="1:7" x14ac:dyDescent="0.25">
      <c r="A29" s="1"/>
      <c r="B29" s="102" t="s">
        <v>143</v>
      </c>
      <c r="C29" s="103"/>
      <c r="D29" s="104"/>
      <c r="E29" s="10">
        <f>SUM(E26:E28)</f>
        <v>275419.98202559387</v>
      </c>
      <c r="F29" s="11" t="s">
        <v>3</v>
      </c>
      <c r="G29" s="1"/>
    </row>
    <row r="30" spans="1:7" x14ac:dyDescent="0.25">
      <c r="A30" s="1"/>
      <c r="B30" s="48" t="s">
        <v>130</v>
      </c>
      <c r="C30" s="49"/>
      <c r="D30" s="49"/>
      <c r="E30" s="49"/>
      <c r="F30" s="22"/>
      <c r="G30" s="1"/>
    </row>
    <row r="31" spans="1:7" ht="27" customHeight="1" x14ac:dyDescent="0.25">
      <c r="A31" s="1"/>
      <c r="B31" s="96" t="s">
        <v>132</v>
      </c>
      <c r="C31" s="97"/>
      <c r="D31" s="98"/>
      <c r="E31" s="10">
        <v>67746.181842512771</v>
      </c>
      <c r="F31" s="11" t="s">
        <v>3</v>
      </c>
      <c r="G31" s="1"/>
    </row>
    <row r="32" spans="1:7" x14ac:dyDescent="0.25">
      <c r="A32" s="1"/>
      <c r="B32" s="48" t="s">
        <v>11</v>
      </c>
      <c r="C32" s="49"/>
      <c r="D32" s="49"/>
      <c r="E32" s="49"/>
      <c r="F32" s="22"/>
      <c r="G32" s="1"/>
    </row>
    <row r="33" spans="1:7" x14ac:dyDescent="0.25">
      <c r="A33" s="1"/>
      <c r="B33" s="83" t="s">
        <v>19</v>
      </c>
      <c r="C33" s="84"/>
      <c r="D33" s="85"/>
      <c r="E33" s="10">
        <v>1182056</v>
      </c>
      <c r="F33" s="11" t="s">
        <v>3</v>
      </c>
      <c r="G33" s="1"/>
    </row>
    <row r="34" spans="1:7" x14ac:dyDescent="0.25">
      <c r="A34" s="1"/>
      <c r="B34" s="48" t="s">
        <v>160</v>
      </c>
      <c r="C34" s="49"/>
      <c r="D34" s="49"/>
      <c r="E34" s="49"/>
      <c r="F34" s="22"/>
      <c r="G34" s="1"/>
    </row>
    <row r="35" spans="1:7" x14ac:dyDescent="0.25">
      <c r="A35" s="1"/>
      <c r="B35" s="83" t="s">
        <v>131</v>
      </c>
      <c r="C35" s="84"/>
      <c r="D35" s="85"/>
      <c r="E35" s="10">
        <v>-797330.87054483162</v>
      </c>
      <c r="F35" s="11" t="s">
        <v>3</v>
      </c>
      <c r="G35" s="1"/>
    </row>
    <row r="36" spans="1:7" x14ac:dyDescent="0.25">
      <c r="A36" s="1"/>
      <c r="B36" s="48" t="s">
        <v>23</v>
      </c>
      <c r="C36" s="49"/>
      <c r="D36" s="49"/>
      <c r="E36" s="12">
        <f>SUM(E33,E31,E29,E24,E22,E35)</f>
        <v>43048476.841053113</v>
      </c>
      <c r="F36" s="13" t="s">
        <v>3</v>
      </c>
      <c r="G36" s="1"/>
    </row>
    <row r="37" spans="1:7" ht="28.15" customHeight="1" x14ac:dyDescent="0.25">
      <c r="A37" s="1"/>
      <c r="B37" s="90" t="s">
        <v>189</v>
      </c>
      <c r="C37" s="91"/>
      <c r="D37" s="91"/>
      <c r="E37" s="91"/>
      <c r="F37" s="92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vri3yJmB3HO+iLx3EMvlJCbBCv+FidE0NLBWhVO+EuPts0HUs4nwje038mtyoxgJDpZzsjyvqujpnQ4X+mDWUg==" saltValue="SLGeSP4XdZbuyD8WHNB4Jw==" spinCount="100000" sheet="1" objects="1" scenarios="1"/>
  <mergeCells count="26">
    <mergeCell ref="B37:F37"/>
    <mergeCell ref="B18:D18"/>
    <mergeCell ref="B19:D19"/>
    <mergeCell ref="B20:D20"/>
    <mergeCell ref="B21:D21"/>
    <mergeCell ref="B22:D22"/>
    <mergeCell ref="B35:D35"/>
    <mergeCell ref="B31:D31"/>
    <mergeCell ref="B33:D33"/>
    <mergeCell ref="B25:D25"/>
    <mergeCell ref="B26:D26"/>
    <mergeCell ref="B27:D27"/>
    <mergeCell ref="B28:D28"/>
    <mergeCell ref="B29:D29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6" t="s">
        <v>202</v>
      </c>
      <c r="C2" s="76"/>
      <c r="D2" s="76"/>
      <c r="E2" s="76"/>
      <c r="F2" s="76"/>
      <c r="G2" s="76"/>
      <c r="H2" s="76"/>
      <c r="I2" s="1"/>
    </row>
    <row r="3" spans="1:9" ht="15" customHeight="1" x14ac:dyDescent="0.25">
      <c r="A3" s="1"/>
      <c r="B3" s="76"/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05" t="s">
        <v>97</v>
      </c>
      <c r="C5" s="106"/>
      <c r="D5" s="106"/>
      <c r="E5" s="106"/>
      <c r="F5" s="106"/>
      <c r="G5" s="106"/>
      <c r="H5" s="107"/>
      <c r="I5" s="1"/>
    </row>
    <row r="6" spans="1:9" x14ac:dyDescent="0.25">
      <c r="A6" s="1"/>
      <c r="B6" s="108" t="s">
        <v>86</v>
      </c>
      <c r="C6" s="109"/>
      <c r="D6" s="109"/>
      <c r="E6" s="109"/>
      <c r="F6" s="110"/>
      <c r="G6" s="26">
        <v>14941645.85155252</v>
      </c>
      <c r="H6" s="14" t="s">
        <v>3</v>
      </c>
      <c r="I6" s="1"/>
    </row>
    <row r="7" spans="1:9" x14ac:dyDescent="0.25">
      <c r="A7" s="1"/>
      <c r="B7" s="108" t="s">
        <v>87</v>
      </c>
      <c r="C7" s="109"/>
      <c r="D7" s="109"/>
      <c r="E7" s="109"/>
      <c r="F7" s="110"/>
      <c r="G7" s="26">
        <f>G6*'Fane 14. Nøgletal'!C25</f>
        <v>298832.91703105043</v>
      </c>
      <c r="H7" s="14" t="s">
        <v>3</v>
      </c>
      <c r="I7" s="1"/>
    </row>
    <row r="8" spans="1:9" x14ac:dyDescent="0.25">
      <c r="A8" s="1"/>
      <c r="B8" s="48"/>
      <c r="C8" s="49"/>
      <c r="D8" s="49"/>
      <c r="E8" s="49"/>
      <c r="F8" s="49"/>
      <c r="G8" s="49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05" t="s">
        <v>98</v>
      </c>
      <c r="C10" s="106"/>
      <c r="D10" s="106"/>
      <c r="E10" s="106"/>
      <c r="F10" s="106"/>
      <c r="G10" s="106"/>
      <c r="H10" s="107"/>
      <c r="I10" s="1"/>
    </row>
    <row r="11" spans="1:9" x14ac:dyDescent="0.25">
      <c r="A11" s="1"/>
      <c r="B11" s="108" t="s">
        <v>88</v>
      </c>
      <c r="C11" s="109"/>
      <c r="D11" s="109"/>
      <c r="E11" s="109"/>
      <c r="F11" s="110"/>
      <c r="G11" s="26">
        <f>(G6-G7)*(1+'Fane 14. Nøgletal'!C9)</f>
        <v>14828776.658789892</v>
      </c>
      <c r="H11" s="14" t="s">
        <v>3</v>
      </c>
      <c r="I11" s="1"/>
    </row>
    <row r="12" spans="1:9" x14ac:dyDescent="0.25">
      <c r="A12" s="1"/>
      <c r="B12" s="111" t="s">
        <v>89</v>
      </c>
      <c r="C12" s="112"/>
      <c r="D12" s="112"/>
      <c r="E12" s="112"/>
      <c r="F12" s="113"/>
      <c r="G12" s="26">
        <v>0</v>
      </c>
      <c r="H12" s="14" t="s">
        <v>3</v>
      </c>
      <c r="I12" s="1"/>
    </row>
    <row r="13" spans="1:9" x14ac:dyDescent="0.25">
      <c r="A13" s="1"/>
      <c r="B13" s="108" t="s">
        <v>90</v>
      </c>
      <c r="C13" s="109"/>
      <c r="D13" s="109"/>
      <c r="E13" s="109"/>
      <c r="F13" s="110"/>
      <c r="G13" s="26">
        <f>(G11+G12)*'Fane 14. Nøgletal'!C25</f>
        <v>296575.53317579784</v>
      </c>
      <c r="H13" s="14" t="s">
        <v>3</v>
      </c>
      <c r="I13" s="1"/>
    </row>
    <row r="14" spans="1:9" x14ac:dyDescent="0.25">
      <c r="A14" s="1"/>
      <c r="B14" s="48"/>
      <c r="C14" s="49"/>
      <c r="D14" s="49"/>
      <c r="E14" s="49"/>
      <c r="F14" s="49"/>
      <c r="G14" s="49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05" t="s">
        <v>99</v>
      </c>
      <c r="C16" s="106"/>
      <c r="D16" s="106"/>
      <c r="E16" s="106"/>
      <c r="F16" s="106"/>
      <c r="G16" s="106"/>
      <c r="H16" s="107"/>
      <c r="I16" s="1"/>
    </row>
    <row r="17" spans="1:9" x14ac:dyDescent="0.25">
      <c r="A17" s="1"/>
      <c r="B17" s="108" t="s">
        <v>91</v>
      </c>
      <c r="C17" s="109"/>
      <c r="D17" s="109"/>
      <c r="E17" s="109"/>
      <c r="F17" s="110"/>
      <c r="G17" s="26">
        <f>(G13/'Fane 14. Nøgletal'!C25-G13)*(1+'Fane 14. Nøgletal'!C11)</f>
        <v>14777795.32463697</v>
      </c>
      <c r="H17" s="14" t="s">
        <v>3</v>
      </c>
      <c r="I17" s="1"/>
    </row>
    <row r="18" spans="1:9" x14ac:dyDescent="0.25">
      <c r="A18" s="1"/>
      <c r="B18" s="108" t="s">
        <v>222</v>
      </c>
      <c r="C18" s="109"/>
      <c r="D18" s="109"/>
      <c r="E18" s="109"/>
      <c r="F18" s="110"/>
      <c r="G18" s="26">
        <v>-175024.21826345427</v>
      </c>
      <c r="H18" s="14" t="s">
        <v>3</v>
      </c>
      <c r="I18" s="1"/>
    </row>
    <row r="19" spans="1:9" x14ac:dyDescent="0.25">
      <c r="A19" s="1"/>
      <c r="B19" s="111" t="s">
        <v>92</v>
      </c>
      <c r="C19" s="112"/>
      <c r="D19" s="112"/>
      <c r="E19" s="112"/>
      <c r="F19" s="113"/>
      <c r="G19" s="26">
        <v>0</v>
      </c>
      <c r="H19" s="14" t="s">
        <v>3</v>
      </c>
      <c r="I19" s="1"/>
    </row>
    <row r="20" spans="1:9" x14ac:dyDescent="0.25">
      <c r="A20" s="1"/>
      <c r="B20" s="108" t="s">
        <v>93</v>
      </c>
      <c r="C20" s="109"/>
      <c r="D20" s="109"/>
      <c r="E20" s="109"/>
      <c r="F20" s="110"/>
      <c r="G20" s="26">
        <f>SUM(G17:G19)*'Fane 14. Nøgletal'!C25</f>
        <v>292055.42212747032</v>
      </c>
      <c r="H20" s="14" t="s">
        <v>3</v>
      </c>
      <c r="I20" s="1"/>
    </row>
    <row r="21" spans="1:9" x14ac:dyDescent="0.25">
      <c r="A21" s="1"/>
      <c r="B21" s="48"/>
      <c r="C21" s="49"/>
      <c r="D21" s="49"/>
      <c r="E21" s="49"/>
      <c r="F21" s="49"/>
      <c r="G21" s="49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05" t="s">
        <v>100</v>
      </c>
      <c r="C23" s="106"/>
      <c r="D23" s="106"/>
      <c r="E23" s="106"/>
      <c r="F23" s="106"/>
      <c r="G23" s="106"/>
      <c r="H23" s="107"/>
      <c r="I23" s="1"/>
    </row>
    <row r="24" spans="1:9" x14ac:dyDescent="0.25">
      <c r="A24" s="1"/>
      <c r="B24" s="108" t="s">
        <v>94</v>
      </c>
      <c r="C24" s="109"/>
      <c r="D24" s="109"/>
      <c r="E24" s="109"/>
      <c r="F24" s="110"/>
      <c r="G24" s="26">
        <f>(SUM(G17:G19)-G20)*(1+'Fane 14. Nøgletal'!C11)</f>
        <v>14552566.779309802</v>
      </c>
      <c r="H24" s="14" t="s">
        <v>3</v>
      </c>
      <c r="I24" s="1"/>
    </row>
    <row r="25" spans="1:9" x14ac:dyDescent="0.25">
      <c r="A25" s="1"/>
      <c r="B25" s="111" t="s">
        <v>95</v>
      </c>
      <c r="C25" s="112"/>
      <c r="D25" s="112"/>
      <c r="E25" s="112"/>
      <c r="F25" s="113"/>
      <c r="G25" s="26">
        <f>('Fane 2.1. Økonomisk ramme 2020'!C10+'Fane 2.1. Økonomisk ramme 2020'!C12+'Fane 2.1. Økonomisk ramme 2020'!C14)*(1+'Fane 14. Nøgletal'!C12)</f>
        <v>55132.683896070004</v>
      </c>
      <c r="H25" s="14" t="s">
        <v>3</v>
      </c>
      <c r="I25" s="1"/>
    </row>
    <row r="26" spans="1:9" x14ac:dyDescent="0.25">
      <c r="A26" s="1"/>
      <c r="B26" s="108" t="s">
        <v>96</v>
      </c>
      <c r="C26" s="109"/>
      <c r="D26" s="109"/>
      <c r="E26" s="109"/>
      <c r="F26" s="110"/>
      <c r="G26" s="26">
        <f>(G24+G25)*'Fane 14. Nøgletal'!C25</f>
        <v>292153.98926411744</v>
      </c>
      <c r="H26" s="14" t="s">
        <v>3</v>
      </c>
      <c r="I26" s="1"/>
    </row>
    <row r="27" spans="1:9" x14ac:dyDescent="0.25">
      <c r="A27" s="1"/>
      <c r="B27" s="48"/>
      <c r="C27" s="49"/>
      <c r="D27" s="49"/>
      <c r="E27" s="49"/>
      <c r="F27" s="49"/>
      <c r="G27" s="49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05" t="s">
        <v>191</v>
      </c>
      <c r="C29" s="106"/>
      <c r="D29" s="106"/>
      <c r="E29" s="106"/>
      <c r="F29" s="106"/>
      <c r="G29" s="106"/>
      <c r="H29" s="107"/>
      <c r="I29" s="1"/>
    </row>
    <row r="30" spans="1:9" x14ac:dyDescent="0.25">
      <c r="A30" s="1"/>
      <c r="B30" s="108" t="s">
        <v>103</v>
      </c>
      <c r="C30" s="109"/>
      <c r="D30" s="109"/>
      <c r="E30" s="109"/>
      <c r="F30" s="110"/>
      <c r="G30" s="26">
        <f>(G24+G25-G26)*(1+'Fane 14. Nøgletal'!C12)</f>
        <v>14597561.719778407</v>
      </c>
      <c r="H30" s="14" t="s">
        <v>3</v>
      </c>
      <c r="I30" s="1"/>
    </row>
    <row r="31" spans="1:9" x14ac:dyDescent="0.25">
      <c r="A31" s="1"/>
      <c r="B31" s="108" t="s">
        <v>145</v>
      </c>
      <c r="C31" s="109"/>
      <c r="D31" s="109"/>
      <c r="E31" s="109"/>
      <c r="F31" s="11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108" t="s">
        <v>220</v>
      </c>
      <c r="C32" s="109"/>
      <c r="D32" s="109"/>
      <c r="E32" s="109"/>
      <c r="F32" s="110"/>
      <c r="G32" s="26">
        <f>(G30+G31)*'Fane 14. Nøgletal'!C25</f>
        <v>291951.23439556814</v>
      </c>
      <c r="H32" s="14" t="s">
        <v>3</v>
      </c>
      <c r="I32" s="1"/>
    </row>
    <row r="33" spans="1:9" x14ac:dyDescent="0.25">
      <c r="A33" s="1"/>
      <c r="B33" s="48"/>
      <c r="C33" s="49"/>
      <c r="D33" s="49"/>
      <c r="E33" s="49"/>
      <c r="F33" s="49"/>
      <c r="G33" s="49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05" t="s">
        <v>126</v>
      </c>
      <c r="C35" s="106"/>
      <c r="D35" s="106"/>
      <c r="E35" s="106"/>
      <c r="F35" s="106"/>
      <c r="G35" s="106"/>
      <c r="H35" s="107"/>
      <c r="I35" s="1"/>
    </row>
    <row r="36" spans="1:9" x14ac:dyDescent="0.25">
      <c r="A36" s="1"/>
      <c r="B36" s="108" t="s">
        <v>125</v>
      </c>
      <c r="C36" s="109"/>
      <c r="D36" s="109"/>
      <c r="E36" s="109"/>
      <c r="F36" s="110"/>
      <c r="G36" s="26">
        <f>(G30-G32)*(1+'Fane 14. Nøgletal'!C12)</f>
        <v>14587431.011944883</v>
      </c>
      <c r="H36" s="14" t="s">
        <v>3</v>
      </c>
      <c r="I36" s="1"/>
    </row>
    <row r="37" spans="1:9" x14ac:dyDescent="0.25">
      <c r="A37" s="1"/>
      <c r="B37" s="108" t="s">
        <v>146</v>
      </c>
      <c r="C37" s="109"/>
      <c r="D37" s="109"/>
      <c r="E37" s="109"/>
      <c r="F37" s="11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108" t="s">
        <v>104</v>
      </c>
      <c r="C38" s="109"/>
      <c r="D38" s="109"/>
      <c r="E38" s="109"/>
      <c r="F38" s="110"/>
      <c r="G38" s="26">
        <f>(G36+G37)*'Fane 14. Nøgletal'!C25</f>
        <v>291748.62023889768</v>
      </c>
      <c r="H38" s="14" t="s">
        <v>3</v>
      </c>
      <c r="I38" s="1"/>
    </row>
    <row r="39" spans="1:9" x14ac:dyDescent="0.25">
      <c r="A39" s="1"/>
      <c r="B39" s="48"/>
      <c r="C39" s="49"/>
      <c r="D39" s="49"/>
      <c r="E39" s="49"/>
      <c r="F39" s="49"/>
      <c r="G39" s="49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05" t="s">
        <v>127</v>
      </c>
      <c r="C41" s="106"/>
      <c r="D41" s="106"/>
      <c r="E41" s="106"/>
      <c r="F41" s="106"/>
      <c r="G41" s="106"/>
      <c r="H41" s="107"/>
      <c r="I41" s="1"/>
    </row>
    <row r="42" spans="1:9" x14ac:dyDescent="0.25">
      <c r="A42" s="1"/>
      <c r="B42" s="108" t="s">
        <v>124</v>
      </c>
      <c r="C42" s="109"/>
      <c r="D42" s="109"/>
      <c r="E42" s="109"/>
      <c r="F42" s="110"/>
      <c r="G42" s="26">
        <f>(G36-G38)*(1+'Fane 14. Nøgletal'!C12)</f>
        <v>14577307.334822593</v>
      </c>
      <c r="H42" s="14" t="s">
        <v>3</v>
      </c>
      <c r="I42" s="1"/>
    </row>
    <row r="43" spans="1:9" x14ac:dyDescent="0.25">
      <c r="A43" s="1"/>
      <c r="B43" s="108" t="s">
        <v>147</v>
      </c>
      <c r="C43" s="109"/>
      <c r="D43" s="109"/>
      <c r="E43" s="109"/>
      <c r="F43" s="11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108" t="s">
        <v>105</v>
      </c>
      <c r="C44" s="109"/>
      <c r="D44" s="109"/>
      <c r="E44" s="109"/>
      <c r="F44" s="110"/>
      <c r="G44" s="26">
        <f>(G42+G43)*'Fane 14. Nøgletal'!C25</f>
        <v>291546.14669645188</v>
      </c>
      <c r="H44" s="14" t="s">
        <v>3</v>
      </c>
      <c r="I44" s="1"/>
    </row>
    <row r="45" spans="1:9" x14ac:dyDescent="0.25">
      <c r="A45" s="1"/>
      <c r="B45" s="48"/>
      <c r="C45" s="49"/>
      <c r="D45" s="49"/>
      <c r="E45" s="49"/>
      <c r="F45" s="49"/>
      <c r="G45" s="49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WS6DmV71dnS9m2GqfWdHNOmuaKwx2kM/k/M42hVkGEwTESMMCADq5x2loPn9K1qdIpOZWoLTXNE+HWVSgdoUg==" saltValue="V+sBN7mTfTOnRnbydeV9KQ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14" t="s">
        <v>203</v>
      </c>
      <c r="C2" s="114"/>
      <c r="D2" s="114"/>
      <c r="E2" s="114"/>
      <c r="F2" s="114"/>
      <c r="G2" s="114"/>
      <c r="H2" s="114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105" t="s">
        <v>101</v>
      </c>
      <c r="C4" s="106"/>
      <c r="D4" s="106"/>
      <c r="E4" s="106"/>
      <c r="F4" s="106"/>
      <c r="G4" s="106"/>
      <c r="H4" s="107"/>
      <c r="I4" s="1"/>
    </row>
    <row r="5" spans="1:9" x14ac:dyDescent="0.25">
      <c r="A5" s="1"/>
      <c r="B5" s="108" t="s">
        <v>106</v>
      </c>
      <c r="C5" s="109"/>
      <c r="D5" s="109"/>
      <c r="E5" s="109"/>
      <c r="F5" s="110"/>
      <c r="G5" s="26">
        <v>11769938.010773305</v>
      </c>
      <c r="H5" s="14" t="s">
        <v>3</v>
      </c>
      <c r="I5" s="1"/>
    </row>
    <row r="6" spans="1:9" x14ac:dyDescent="0.25">
      <c r="A6" s="1"/>
      <c r="B6" s="108" t="s">
        <v>102</v>
      </c>
      <c r="C6" s="109"/>
      <c r="D6" s="109"/>
      <c r="E6" s="109"/>
      <c r="F6" s="110"/>
      <c r="G6" s="26">
        <f>G5*'Fane 14. Nøgletal'!C17</f>
        <v>107106.43589803707</v>
      </c>
      <c r="H6" s="14" t="s">
        <v>3</v>
      </c>
      <c r="I6" s="1"/>
    </row>
    <row r="7" spans="1:9" x14ac:dyDescent="0.25">
      <c r="A7" s="1"/>
      <c r="B7" s="48"/>
      <c r="C7" s="49"/>
      <c r="D7" s="49"/>
      <c r="E7" s="49"/>
      <c r="F7" s="49"/>
      <c r="G7" s="49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05" t="s">
        <v>107</v>
      </c>
      <c r="C9" s="106"/>
      <c r="D9" s="106"/>
      <c r="E9" s="106"/>
      <c r="F9" s="106"/>
      <c r="G9" s="106"/>
      <c r="H9" s="107"/>
      <c r="I9" s="1"/>
    </row>
    <row r="10" spans="1:9" x14ac:dyDescent="0.25">
      <c r="A10" s="1"/>
      <c r="B10" s="108" t="s">
        <v>108</v>
      </c>
      <c r="C10" s="109"/>
      <c r="D10" s="109"/>
      <c r="E10" s="109"/>
      <c r="F10" s="110"/>
      <c r="G10" s="26">
        <f>(G5-G6)*(1+'Fane 14. Nøgletal'!C9)</f>
        <v>11810949.535876183</v>
      </c>
      <c r="H10" s="14" t="s">
        <v>3</v>
      </c>
      <c r="I10" s="1"/>
    </row>
    <row r="11" spans="1:9" x14ac:dyDescent="0.25">
      <c r="A11" s="1"/>
      <c r="B11" s="111" t="s">
        <v>109</v>
      </c>
      <c r="C11" s="112"/>
      <c r="D11" s="112"/>
      <c r="E11" s="112"/>
      <c r="F11" s="113"/>
      <c r="G11" s="26">
        <v>0</v>
      </c>
      <c r="H11" s="14" t="s">
        <v>3</v>
      </c>
      <c r="I11" s="1"/>
    </row>
    <row r="12" spans="1:9" x14ac:dyDescent="0.25">
      <c r="A12" s="1"/>
      <c r="B12" s="108" t="s">
        <v>110</v>
      </c>
      <c r="C12" s="109"/>
      <c r="D12" s="109"/>
      <c r="E12" s="109"/>
      <c r="F12" s="110"/>
      <c r="G12" s="26">
        <f>G10*'Fane 14. Nøgletal'!C17+G11*'Fane 14. Nøgletal'!C18</f>
        <v>107479.64077647327</v>
      </c>
      <c r="H12" s="14" t="s">
        <v>3</v>
      </c>
      <c r="I12" s="1"/>
    </row>
    <row r="13" spans="1:9" x14ac:dyDescent="0.25">
      <c r="A13" s="1"/>
      <c r="B13" s="48"/>
      <c r="C13" s="49"/>
      <c r="D13" s="49"/>
      <c r="E13" s="49"/>
      <c r="F13" s="49"/>
      <c r="G13" s="49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05" t="s">
        <v>111</v>
      </c>
      <c r="C15" s="106"/>
      <c r="D15" s="106"/>
      <c r="E15" s="106"/>
      <c r="F15" s="106"/>
      <c r="G15" s="106"/>
      <c r="H15" s="107"/>
      <c r="I15" s="1"/>
    </row>
    <row r="16" spans="1:9" x14ac:dyDescent="0.25">
      <c r="A16" s="1"/>
      <c r="B16" s="108" t="s">
        <v>112</v>
      </c>
      <c r="C16" s="109"/>
      <c r="D16" s="109"/>
      <c r="E16" s="109"/>
      <c r="F16" s="110"/>
      <c r="G16" s="26">
        <f>(G10+G11-G12)*(1+'Fane 14. Nøgletal'!C11)</f>
        <v>11901258.536326893</v>
      </c>
      <c r="H16" s="14" t="s">
        <v>3</v>
      </c>
      <c r="I16" s="1"/>
    </row>
    <row r="17" spans="1:9" x14ac:dyDescent="0.25">
      <c r="A17" s="1"/>
      <c r="B17" s="108" t="s">
        <v>223</v>
      </c>
      <c r="C17" s="109"/>
      <c r="D17" s="109"/>
      <c r="E17" s="109"/>
      <c r="F17" s="110"/>
      <c r="G17" s="26">
        <v>184015.40054029608</v>
      </c>
      <c r="H17" s="14" t="s">
        <v>3</v>
      </c>
      <c r="I17" s="1"/>
    </row>
    <row r="18" spans="1:9" x14ac:dyDescent="0.25">
      <c r="A18" s="1"/>
      <c r="B18" s="111" t="s">
        <v>113</v>
      </c>
      <c r="C18" s="112"/>
      <c r="D18" s="112"/>
      <c r="E18" s="112"/>
      <c r="F18" s="113"/>
      <c r="G18" s="26">
        <v>10650.047697389997</v>
      </c>
      <c r="H18" s="14" t="s">
        <v>3</v>
      </c>
      <c r="I18" s="1"/>
    </row>
    <row r="19" spans="1:9" x14ac:dyDescent="0.25">
      <c r="A19" s="1"/>
      <c r="B19" s="108" t="s">
        <v>114</v>
      </c>
      <c r="C19" s="109"/>
      <c r="D19" s="109"/>
      <c r="E19" s="109"/>
      <c r="F19" s="110"/>
      <c r="G19" s="26">
        <f>SUM(G16:G18)*'Fane 14. Nøgletal'!C19</f>
        <v>105234.53866571182</v>
      </c>
      <c r="H19" s="14" t="s">
        <v>3</v>
      </c>
      <c r="I19" s="1"/>
    </row>
    <row r="20" spans="1:9" x14ac:dyDescent="0.25">
      <c r="A20" s="1"/>
      <c r="B20" s="48"/>
      <c r="C20" s="49"/>
      <c r="D20" s="49"/>
      <c r="E20" s="49"/>
      <c r="F20" s="49"/>
      <c r="G20" s="49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05" t="s">
        <v>115</v>
      </c>
      <c r="C22" s="106"/>
      <c r="D22" s="106"/>
      <c r="E22" s="106"/>
      <c r="F22" s="106"/>
      <c r="G22" s="106"/>
      <c r="H22" s="107"/>
      <c r="I22" s="1"/>
    </row>
    <row r="23" spans="1:9" x14ac:dyDescent="0.25">
      <c r="A23" s="1"/>
      <c r="B23" s="108" t="s">
        <v>116</v>
      </c>
      <c r="C23" s="109"/>
      <c r="D23" s="109"/>
      <c r="E23" s="109"/>
      <c r="F23" s="110"/>
      <c r="G23" s="26">
        <f>(SUM(G16:G18)-G19)*(1+'Fane 14. Nøgletal'!C11)</f>
        <v>12193332.097534556</v>
      </c>
      <c r="H23" s="14" t="s">
        <v>3</v>
      </c>
      <c r="I23" s="1"/>
    </row>
    <row r="24" spans="1:9" x14ac:dyDescent="0.25">
      <c r="A24" s="1"/>
      <c r="B24" s="111" t="s">
        <v>117</v>
      </c>
      <c r="C24" s="112"/>
      <c r="D24" s="112"/>
      <c r="E24" s="112"/>
      <c r="F24" s="113"/>
      <c r="G24" s="26">
        <f>('Fane 2.1. Økonomisk ramme 2020'!C11+'Fane 2.1. Økonomisk ramme 2020'!C13+'Fane 2.1. Økonomisk ramme 2020'!C15)*(1+'Fane 14. Nøgletal'!C12)</f>
        <v>239726.46835202377</v>
      </c>
      <c r="H24" s="14" t="s">
        <v>3</v>
      </c>
      <c r="I24" s="1"/>
    </row>
    <row r="25" spans="1:9" x14ac:dyDescent="0.25">
      <c r="A25" s="1"/>
      <c r="B25" s="108" t="s">
        <v>118</v>
      </c>
      <c r="C25" s="109"/>
      <c r="D25" s="109"/>
      <c r="E25" s="109"/>
      <c r="F25" s="110"/>
      <c r="G25" s="26">
        <f>G23*'Fane 14. Nøgletal'!C19+G24*'Fane 14. Nøgletal'!C20</f>
        <v>112890.22094974811</v>
      </c>
      <c r="H25" s="14" t="s">
        <v>3</v>
      </c>
      <c r="I25" s="1"/>
    </row>
    <row r="26" spans="1:9" x14ac:dyDescent="0.25">
      <c r="A26" s="1"/>
      <c r="B26" s="48"/>
      <c r="C26" s="49"/>
      <c r="D26" s="49"/>
      <c r="E26" s="49"/>
      <c r="F26" s="49"/>
      <c r="G26" s="49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05" t="s">
        <v>190</v>
      </c>
      <c r="C28" s="106"/>
      <c r="D28" s="106"/>
      <c r="E28" s="106"/>
      <c r="F28" s="106"/>
      <c r="G28" s="106"/>
      <c r="H28" s="107"/>
      <c r="I28" s="1"/>
    </row>
    <row r="29" spans="1:9" x14ac:dyDescent="0.25">
      <c r="A29" s="1"/>
      <c r="B29" s="108" t="s">
        <v>119</v>
      </c>
      <c r="C29" s="109"/>
      <c r="D29" s="109"/>
      <c r="E29" s="109"/>
      <c r="F29" s="110"/>
      <c r="G29" s="26">
        <f>(G23+G24-G25)*(1+'Fane 14. Nøgletal'!C12)</f>
        <v>12562875.661332088</v>
      </c>
      <c r="H29" s="14" t="s">
        <v>3</v>
      </c>
      <c r="I29" s="1"/>
    </row>
    <row r="30" spans="1:9" x14ac:dyDescent="0.25">
      <c r="A30" s="1"/>
      <c r="B30" s="108" t="s">
        <v>151</v>
      </c>
      <c r="C30" s="109"/>
      <c r="D30" s="109"/>
      <c r="E30" s="109"/>
      <c r="F30" s="11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108" t="s">
        <v>219</v>
      </c>
      <c r="C31" s="109"/>
      <c r="D31" s="109"/>
      <c r="E31" s="109"/>
      <c r="F31" s="110"/>
      <c r="G31" s="26">
        <f>(G29+G30)*'Fane 14. Nøgletal'!C20</f>
        <v>356785.66878183134</v>
      </c>
      <c r="H31" s="14" t="s">
        <v>3</v>
      </c>
      <c r="I31" s="1"/>
    </row>
    <row r="32" spans="1:9" x14ac:dyDescent="0.25">
      <c r="A32" s="1"/>
      <c r="B32" s="48"/>
      <c r="C32" s="49"/>
      <c r="D32" s="49"/>
      <c r="E32" s="49"/>
      <c r="F32" s="49"/>
      <c r="G32" s="49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05" t="s">
        <v>128</v>
      </c>
      <c r="C34" s="106"/>
      <c r="D34" s="106"/>
      <c r="E34" s="106"/>
      <c r="F34" s="106"/>
      <c r="G34" s="106"/>
      <c r="H34" s="107"/>
      <c r="I34" s="1"/>
    </row>
    <row r="35" spans="1:9" x14ac:dyDescent="0.25">
      <c r="A35" s="1"/>
      <c r="B35" s="108" t="s">
        <v>123</v>
      </c>
      <c r="C35" s="109"/>
      <c r="D35" s="109"/>
      <c r="E35" s="109"/>
      <c r="F35" s="110"/>
      <c r="G35" s="26">
        <f>(G29-G31)*(1+'Fane 14. Nøgletal'!C12)</f>
        <v>12446549.965403497</v>
      </c>
      <c r="H35" s="14" t="s">
        <v>3</v>
      </c>
      <c r="I35" s="1"/>
    </row>
    <row r="36" spans="1:9" x14ac:dyDescent="0.25">
      <c r="A36" s="1"/>
      <c r="B36" s="108" t="s">
        <v>152</v>
      </c>
      <c r="C36" s="109"/>
      <c r="D36" s="109"/>
      <c r="E36" s="109"/>
      <c r="F36" s="11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108" t="s">
        <v>120</v>
      </c>
      <c r="C37" s="109"/>
      <c r="D37" s="109"/>
      <c r="E37" s="109"/>
      <c r="F37" s="110"/>
      <c r="G37" s="26">
        <f>(G35+G36)*'Fane 14. Nøgletal'!C20</f>
        <v>353482.01901745936</v>
      </c>
      <c r="H37" s="14" t="s">
        <v>3</v>
      </c>
      <c r="I37" s="1"/>
    </row>
    <row r="38" spans="1:9" x14ac:dyDescent="0.25">
      <c r="A38" s="1"/>
      <c r="B38" s="48"/>
      <c r="C38" s="49"/>
      <c r="D38" s="49"/>
      <c r="E38" s="49"/>
      <c r="F38" s="49"/>
      <c r="G38" s="49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05" t="s">
        <v>129</v>
      </c>
      <c r="C40" s="106"/>
      <c r="D40" s="106"/>
      <c r="E40" s="106"/>
      <c r="F40" s="106"/>
      <c r="G40" s="106"/>
      <c r="H40" s="107"/>
      <c r="I40" s="1"/>
    </row>
    <row r="41" spans="1:9" x14ac:dyDescent="0.25">
      <c r="A41" s="1"/>
      <c r="B41" s="108" t="s">
        <v>122</v>
      </c>
      <c r="C41" s="109"/>
      <c r="D41" s="109"/>
      <c r="E41" s="109"/>
      <c r="F41" s="110"/>
      <c r="G41" s="26">
        <f>(G35-G37)*(1+'Fane 14. Nøgletal'!C12)</f>
        <v>12331301.384929843</v>
      </c>
      <c r="H41" s="14" t="s">
        <v>3</v>
      </c>
      <c r="I41" s="1"/>
    </row>
    <row r="42" spans="1:9" x14ac:dyDescent="0.25">
      <c r="A42" s="1"/>
      <c r="B42" s="108" t="s">
        <v>153</v>
      </c>
      <c r="C42" s="109"/>
      <c r="D42" s="109"/>
      <c r="E42" s="109"/>
      <c r="F42" s="11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108" t="s">
        <v>121</v>
      </c>
      <c r="C43" s="109"/>
      <c r="D43" s="109"/>
      <c r="E43" s="109"/>
      <c r="F43" s="110"/>
      <c r="G43" s="26">
        <f>(G41+G42)*'Fane 14. Nøgletal'!C20</f>
        <v>350208.95933200757</v>
      </c>
      <c r="H43" s="14" t="s">
        <v>3</v>
      </c>
      <c r="I43" s="1"/>
    </row>
    <row r="44" spans="1:9" x14ac:dyDescent="0.25">
      <c r="A44" s="1"/>
      <c r="B44" s="48"/>
      <c r="C44" s="49"/>
      <c r="D44" s="49"/>
      <c r="E44" s="49"/>
      <c r="F44" s="49"/>
      <c r="G44" s="49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TAGnEmdTnVpja9QLYvfb4De6eGSBWmd3jO2KuaHMLGe84+FPSxgZq71K+d2cxAmK8MhDJaNG078vIo6culeig==" saltValue="jkKpBAl45+HCeROyErCySw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144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5" t="s">
        <v>10</v>
      </c>
      <c r="C8" s="106"/>
      <c r="D8" s="106"/>
      <c r="E8" s="106"/>
      <c r="F8" s="106"/>
      <c r="G8" s="106"/>
      <c r="H8" s="107"/>
      <c r="I8" s="1"/>
    </row>
    <row r="9" spans="1:9" x14ac:dyDescent="0.25">
      <c r="A9" s="1"/>
      <c r="B9" s="108" t="s">
        <v>178</v>
      </c>
      <c r="C9" s="109"/>
      <c r="D9" s="109"/>
      <c r="E9" s="109"/>
      <c r="F9" s="110"/>
      <c r="G9" s="25">
        <v>2.2356369568677912E-3</v>
      </c>
      <c r="H9" s="14"/>
      <c r="I9" s="1"/>
    </row>
    <row r="10" spans="1:9" x14ac:dyDescent="0.25">
      <c r="A10" s="1"/>
      <c r="B10" s="108" t="s">
        <v>179</v>
      </c>
      <c r="C10" s="109"/>
      <c r="D10" s="109"/>
      <c r="E10" s="109"/>
      <c r="F10" s="110"/>
      <c r="G10" s="25">
        <v>1.5548815875560662E-3</v>
      </c>
      <c r="H10" s="14"/>
      <c r="I10" s="1"/>
    </row>
    <row r="11" spans="1:9" x14ac:dyDescent="0.25">
      <c r="A11" s="1"/>
      <c r="B11" s="48"/>
      <c r="C11" s="49"/>
      <c r="D11" s="49"/>
      <c r="E11" s="49"/>
      <c r="F11" s="49"/>
      <c r="G11" s="49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15"/>
      <c r="C13" s="115"/>
      <c r="D13" s="115"/>
      <c r="E13" s="115"/>
      <c r="F13" s="115"/>
      <c r="G13" s="115"/>
      <c r="H13" s="11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K7rlMgr0TkY1lr5jKToHC7B+kdNIeQqbEcfDsS6ekTs9SCIopq5rxHQdyp61Upam2h8XqO6JJuyW3X6mXYAmMg==" saltValue="+f+HLrRAWNQufoy2mF9PiQ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2019-10-11T11:30:26Z</dcterms:modified>
</cp:coreProperties>
</file>