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Kalundborg Spildevandsanlæg AS (S056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aktivitet" sheetId="29" r:id="rId17"/>
    <sheet name="Fane 13. Bortfald" sheetId="21" r:id="rId18"/>
    <sheet name="Fane 14. Hist. over-underdæk." sheetId="10" r:id="rId19"/>
    <sheet name="Fane 15. Nøgletal" sheetId="26" r:id="rId20"/>
  </sheets>
  <calcPr calcId="162913"/>
</workbook>
</file>

<file path=xl/calcChain.xml><?xml version="1.0" encoding="utf-8"?>
<calcChain xmlns="http://schemas.openxmlformats.org/spreadsheetml/2006/main">
  <c r="E26" i="32" l="1"/>
  <c r="G21" i="30" l="1"/>
  <c r="E30" i="27"/>
  <c r="E31" i="27" s="1"/>
  <c r="E23" i="11" l="1"/>
  <c r="E22" i="11"/>
  <c r="E20" i="11"/>
  <c r="E19" i="11"/>
  <c r="E18" i="11"/>
  <c r="E17" i="11"/>
  <c r="E16" i="11"/>
  <c r="E15" i="11"/>
  <c r="E14" i="11"/>
  <c r="G36" i="11"/>
  <c r="F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1" i="11"/>
  <c r="E13" i="11"/>
  <c r="E12" i="11"/>
  <c r="E11" i="11"/>
  <c r="E19" i="40" l="1"/>
  <c r="E16" i="40" l="1"/>
  <c r="E12" i="40"/>
  <c r="E10" i="11" l="1"/>
  <c r="E36" i="11" s="1"/>
  <c r="G8" i="30" l="1"/>
  <c r="E23" i="27" l="1"/>
  <c r="E24" i="27" s="1"/>
  <c r="E29" i="20" l="1"/>
  <c r="E23" i="20"/>
  <c r="E17" i="20"/>
  <c r="E11" i="20"/>
  <c r="E21" i="32" l="1"/>
  <c r="E12" i="32"/>
  <c r="E28" i="32" l="1"/>
  <c r="C32" i="2" s="1"/>
  <c r="E28" i="20" l="1"/>
  <c r="E22" i="20"/>
  <c r="E24" i="20" s="1"/>
  <c r="C20" i="22" s="1"/>
  <c r="E16" i="20"/>
  <c r="E18" i="20" s="1"/>
  <c r="C20" i="15" s="1"/>
  <c r="E10" i="20"/>
  <c r="E12" i="20" s="1"/>
  <c r="C24" i="2" s="1"/>
  <c r="E30" i="20" l="1"/>
  <c r="C20" i="23" s="1"/>
  <c r="E20" i="40" l="1"/>
  <c r="C34" i="2" s="1"/>
  <c r="E29" i="2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G30" i="36" l="1"/>
  <c r="C11" i="15"/>
  <c r="G39" i="30"/>
  <c r="C10" i="22"/>
  <c r="C11" i="22"/>
  <c r="G36" i="36"/>
  <c r="G33" i="30"/>
  <c r="C10" i="15"/>
  <c r="G45" i="30"/>
  <c r="C10" i="23"/>
  <c r="G42" i="36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22" i="39" s="1"/>
  <c r="C23" i="15" s="1"/>
  <c r="E12" i="39"/>
  <c r="E14" i="39" s="1"/>
  <c r="C27" i="2" s="1"/>
  <c r="C20" i="39"/>
  <c r="C22" i="39" s="1"/>
  <c r="C22" i="15" s="1"/>
  <c r="C12" i="39"/>
  <c r="E30" i="39" l="1"/>
  <c r="C23" i="22" s="1"/>
  <c r="C38" i="39"/>
  <c r="C22" i="23" s="1"/>
  <c r="C30" i="39"/>
  <c r="C22" i="22" s="1"/>
  <c r="E38" i="39"/>
  <c r="C23" i="23" s="1"/>
  <c r="C14" i="39"/>
  <c r="C26" i="2" s="1"/>
  <c r="G12" i="10"/>
  <c r="G14" i="10" s="1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E19" i="27" l="1"/>
  <c r="G23" i="36"/>
  <c r="G22" i="30"/>
  <c r="E18" i="27" s="1"/>
  <c r="G26" i="30" l="1"/>
  <c r="E16" i="27"/>
  <c r="E17" i="27" l="1"/>
  <c r="E20" i="27"/>
  <c r="E36" i="27" s="1"/>
  <c r="C9" i="2"/>
  <c r="C26" i="15" l="1"/>
  <c r="C10" i="37" l="1"/>
  <c r="C13" i="37" s="1"/>
  <c r="C14" i="37" s="1"/>
  <c r="C10" i="2" s="1"/>
  <c r="E11" i="21" l="1"/>
  <c r="C11" i="21"/>
  <c r="E11" i="29"/>
  <c r="C11" i="29"/>
  <c r="C14" i="19"/>
  <c r="C15" i="19" s="1"/>
  <c r="E12" i="29" l="1"/>
  <c r="C15" i="2" s="1"/>
  <c r="C12" i="29"/>
  <c r="C14" i="2" s="1"/>
  <c r="C18" i="15"/>
  <c r="C22" i="2"/>
  <c r="C18" i="23"/>
  <c r="C18" i="22"/>
  <c r="C12" i="21"/>
  <c r="C12" i="2" s="1"/>
  <c r="E12" i="21"/>
  <c r="C13" i="2" s="1"/>
  <c r="G27" i="30" l="1"/>
  <c r="G28" i="30" s="1"/>
  <c r="C18" i="2" l="1"/>
  <c r="G32" i="30" l="1"/>
  <c r="G34" i="30" s="1"/>
  <c r="E10" i="37"/>
  <c r="E13" i="37" s="1"/>
  <c r="E14" i="37" s="1"/>
  <c r="C11" i="2" s="1"/>
  <c r="G24" i="36" s="1"/>
  <c r="G25" i="36" s="1"/>
  <c r="C30" i="2"/>
  <c r="C14" i="15" l="1"/>
  <c r="G38" i="30" l="1"/>
  <c r="G40" i="30" s="1"/>
  <c r="C16" i="2"/>
  <c r="C17" i="2" s="1"/>
  <c r="C14" i="22" l="1"/>
  <c r="G44" i="30" l="1"/>
  <c r="C19" i="2"/>
  <c r="C20" i="2" s="1"/>
  <c r="G29" i="36"/>
  <c r="G31" i="36" s="1"/>
  <c r="C9" i="15" l="1"/>
  <c r="C35" i="2"/>
  <c r="G46" i="30"/>
  <c r="C14" i="23" s="1"/>
  <c r="G35" i="36"/>
  <c r="G37" i="36" s="1"/>
  <c r="G41" i="36" l="1"/>
  <c r="G43" i="36" s="1"/>
  <c r="C12" i="15"/>
  <c r="C13" i="15" s="1"/>
  <c r="C15" i="15"/>
  <c r="C15" i="22"/>
  <c r="C16" i="15" l="1"/>
  <c r="C27" i="15" l="1"/>
  <c r="C9" i="22"/>
  <c r="C15" i="23"/>
  <c r="C12" i="22" l="1"/>
  <c r="C13" i="22" s="1"/>
  <c r="C16" i="22" l="1"/>
  <c r="C25" i="22" l="1"/>
  <c r="C9" i="23"/>
  <c r="C12" i="23" s="1"/>
  <c r="C13" i="23" s="1"/>
  <c r="C16" i="23" s="1"/>
  <c r="C25" i="23" s="1"/>
</calcChain>
</file>

<file path=xl/sharedStrings.xml><?xml version="1.0" encoding="utf-8"?>
<sst xmlns="http://schemas.openxmlformats.org/spreadsheetml/2006/main" count="732" uniqueCount="284">
  <si>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</si>
  <si>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</si>
  <si>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</si>
  <si>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</si>
  <si>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</si>
  <si>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</si>
  <si>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</si>
  <si>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</si>
  <si>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</si>
  <si>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</si>
  <si>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</si>
  <si>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</si>
  <si>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</si>
  <si>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</si>
  <si>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</si>
  <si>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</si>
  <si>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</si>
  <si>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</si>
  <si>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</si>
  <si>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</si>
  <si>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</si>
  <si>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</si>
  <si>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</si>
  <si>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</si>
  <si>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</si>
  <si>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</si>
  <si>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</si>
  <si>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</si>
  <si>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</si>
  <si>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</si>
  <si>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</si>
  <si>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</si>
  <si>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</si>
  <si>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</si>
  <si>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</si>
  <si>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</si>
  <si>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</si>
  <si>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</si>
  <si>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</si>
  <si>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</si>
  <si>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</si>
  <si>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</si>
  <si>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</si>
  <si>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</si>
  <si>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</si>
  <si>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</si>
  <si>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</si>
  <si>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</si>
  <si>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</si>
  <si>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</si>
  <si>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</si>
  <si>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</si>
  <si>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Samlet økonomisk ramme for 2020</t>
  </si>
  <si>
    <t>Fane 2.4</t>
  </si>
  <si>
    <t>Samlet økonomisk ramme for 2021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</si>
  <si>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</si>
  <si>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</si>
  <si>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</si>
  <si>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</si>
  <si>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</si>
  <si>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</si>
  <si>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</si>
  <si>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</si>
  <si>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</si>
  <si>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</si>
  <si>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</si>
  <si>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</si>
  <si>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</si>
  <si>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</si>
  <si>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</si>
  <si>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</si>
  <si>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</si>
  <si>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</si>
  <si>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</si>
  <si>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</si>
  <si>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</si>
  <si>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</si>
  <si>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Heraf beløb indregnet i prislofterne/de økonomiske rammer for 2011-2019</t>
  </si>
  <si>
    <t>Beregningen af jeres individuelle effektiviseringskrav fremgår af metodepapir samt bilag til benchmarkingmodellen 2020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</si>
  <si>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</si>
  <si>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</si>
  <si>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</si>
  <si>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</si>
  <si>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</si>
  <si>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</si>
  <si>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</si>
  <si>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</si>
  <si>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</si>
  <si>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</si>
  <si>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</si>
  <si>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</si>
  <si>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</si>
  <si>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</si>
  <si>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</si>
  <si>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</si>
  <si>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</si>
  <si>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</si>
  <si>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</si>
  <si>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</si>
  <si>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</si>
  <si>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</si>
  <si>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</si>
  <si>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</si>
  <si>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</si>
  <si>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</si>
  <si>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</si>
  <si>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</si>
  <si>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</si>
  <si>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</si>
  <si>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</si>
  <si>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</si>
  <si>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</si>
  <si>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</si>
  <si>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</si>
  <si>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</si>
  <si>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</si>
  <si>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</si>
  <si>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</si>
  <si>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</si>
  <si>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</si>
  <si>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</si>
  <si>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</si>
  <si>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</si>
  <si>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</si>
  <si>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</si>
  <si>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</si>
  <si>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</si>
  <si>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</si>
  <si>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</si>
  <si>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</si>
  <si>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</si>
  <si>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</si>
  <si>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</si>
  <si>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</si>
  <si>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</si>
  <si>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</si>
  <si>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</si>
  <si>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</si>
  <si>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</si>
  <si>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</si>
  <si>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</si>
  <si>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</si>
  <si>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</si>
  <si>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</si>
  <si>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</si>
  <si>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</si>
  <si>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Periodevise driftsomkostninger i alt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</si>
  <si>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</si>
  <si>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</si>
  <si>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</si>
  <si>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</si>
  <si>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</si>
  <si>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</si>
  <si>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</si>
  <si>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</si>
  <si>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</si>
  <si>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</si>
  <si>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</si>
  <si>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</si>
  <si>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i alt i 2018-prisniveau</t>
  </si>
  <si>
    <t>Periodevise driftsomkostninger til de økonomiske rammer for 2020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</si>
  <si>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</si>
  <si>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</si>
  <si>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</si>
  <si>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2020-prisniveau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</si>
  <si>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</si>
  <si>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</si>
  <si>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</si>
  <si>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</si>
  <si>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</si>
  <si>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</si>
  <si>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</si>
  <si>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Til økonomisk ramme for 2020 og 2021</t>
  </si>
  <si>
    <t>Andre korrektioner</t>
  </si>
  <si>
    <t>Kontrol med overholdelse af indtægtsrammer</t>
  </si>
  <si>
    <t>Fane 15</t>
  </si>
  <si>
    <t>Kontrol af den økonomiske ramme for 2018</t>
  </si>
  <si>
    <t>Korrektion af periodevise driftsomkostninger i de økonomiske rammer for 2018</t>
  </si>
  <si>
    <t>Korrektion af tidligere godkendte omkostninger til medfinansiering af klimatilpasningsprojekter</t>
  </si>
  <si>
    <t>Til indregning i de økonomiske rammer for 2020-2021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</si>
  <si>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</si>
  <si>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</si>
  <si>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</si>
  <si>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</si>
  <si>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</si>
  <si>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</si>
  <si>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</si>
  <si>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</si>
  <si>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</si>
  <si>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</si>
  <si>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</si>
  <si>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</si>
  <si>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</si>
  <si>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</si>
  <si>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</si>
  <si>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</si>
  <si>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Tillæg til tilbagebetaling af vejbidrag</t>
  </si>
  <si>
    <t>Tillæg til den økonomiske ramme for 2020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</si>
  <si>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</si>
  <si>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</si>
  <si>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</si>
  <si>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</si>
  <si>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Faktisk periodevis driftsomkostning i 2018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</si>
  <si>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</si>
  <si>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</si>
  <si>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</si>
  <si>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</si>
  <si>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</si>
  <si>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</si>
  <si>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Fradrag for kontrol af den økonomiske ramme for 2018</t>
  </si>
  <si>
    <t>Tidligere godkendt tillæg indregnet i den økonomiske ramme for 2018</t>
  </si>
  <si>
    <t>Faktisk omkostning til medfinansiering af klimatilpasningsprojekter i 2018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</si>
  <si>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</si>
  <si>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</si>
  <si>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</si>
  <si>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</si>
  <si>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</si>
  <si>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</si>
  <si>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</si>
  <si>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</si>
  <si>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</si>
  <si>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14: Historisk over- eller underdækning</t>
  </si>
  <si>
    <t>Fane 13: Bortfald eller nedsættelse af omkostninger til mål, medfinansiering eller udvidelse</t>
  </si>
  <si>
    <t>Fane 12: Tilknyttet aktivitet under hovedvirksomheden</t>
  </si>
  <si>
    <t>Fane 10.2: Engangstillæg</t>
  </si>
  <si>
    <t>Fane 10.1: Varige tillæg</t>
  </si>
  <si>
    <t>Fane 7: Kontrol med overholdelse af den økonomiske ramme for 2018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</si>
  <si>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</si>
  <si>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</si>
  <si>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</si>
  <si>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</si>
  <si>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</si>
  <si>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</si>
  <si>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</si>
  <si>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</si>
  <si>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</si>
  <si>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</si>
  <si>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</si>
  <si>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Effektiviseringskrav af periodevise driftsomkostninger</t>
  </si>
  <si>
    <t>Periodevise driftsomkostninger i den økonomiske ramme for 2019</t>
  </si>
  <si>
    <t>Periodevise driftsomkostninger i den økonomiske ramme for 2019 i alt</t>
  </si>
  <si>
    <t>Fane 3</t>
  </si>
  <si>
    <t>Periodevise driftsomkostninger i den økonomiske ramme for 2017</t>
  </si>
  <si>
    <t>Fane 3: Videreførte omkostninger fra den økonomiske ramme for 2019</t>
  </si>
  <si>
    <t>Korrektion af driftsomkostninger i grundlaget</t>
  </si>
  <si>
    <t>Korrektion af anlægsomkostninger i grundlaget</t>
  </si>
  <si>
    <t>Fane 2.3: Samlet økonomisk ramme for 2022</t>
  </si>
  <si>
    <t>Fane 2.4: Samlet økonomisk ramme for 2023</t>
  </si>
  <si>
    <t>Fane 15: Nøgletal</t>
  </si>
  <si>
    <t>Korrektion af tidligere rammer</t>
  </si>
  <si>
    <t>Tillæg/fradrag for korrektion af tidligere rammer</t>
  </si>
  <si>
    <t>Fradrag i de økonomiske rammer for 2020-2021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</si>
  <si>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</si>
  <si>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</si>
  <si>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</si>
  <si>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</si>
  <si>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</si>
  <si>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</si>
  <si>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Prisfremskrivning til 2017-prisniveau af korrektion af periodevise driftsomkostninger i de økonomiske rammer for 2019</t>
  </si>
  <si>
    <t>Ø 1000 mm &lt; Ledningsnet ≤ Ø 1200 mm</t>
  </si>
  <si>
    <t>Brønde</t>
  </si>
  <si>
    <t>Ledningsnet ≤ Ø 200 mm</t>
  </si>
  <si>
    <t>Ø 200 mm &lt; Ledningsnet ≤ Ø 500 mm</t>
  </si>
  <si>
    <t>Strømpeforing Ø 200 mm &lt; Ledningsnet ≤ Ø 500 mm</t>
  </si>
  <si>
    <t>Ø 500 mm &lt; Ledningsnet ≤ Ø 800 mm</t>
  </si>
  <si>
    <t>Pumpestationer m. overbygning (&lt; 20 m2), Konstruktioner</t>
  </si>
  <si>
    <t>Pumpestationer m. overbygning (&lt; 20 m2), Mek/EL</t>
  </si>
  <si>
    <t>Installationer "mekaniske riste og SRO" Miljøklasse B. (20-30 m2) - SRO</t>
  </si>
  <si>
    <t>Stik</t>
  </si>
  <si>
    <t>Tryksatte minipumpestationer (husstandssystemer)</t>
  </si>
  <si>
    <t>Pumpestationer i underjordiske bygværker (&lt;50 m2), Mek/El</t>
  </si>
  <si>
    <t>Pumpestationer i underjordiske bygværker (&lt;50 m2), SRO</t>
  </si>
  <si>
    <t>Pumpeinstallation Miljøklasse A (100-300 l/s) - Mek/EL</t>
  </si>
  <si>
    <t>Anlægsprojekter igangsat senest 1. marts 2016</t>
  </si>
  <si>
    <t>Afgift til Forsyningssekretariatet</t>
  </si>
  <si>
    <t>Køb af ydelser og produkter fra andre vandselskaber reguleret af vandsektorloven</t>
  </si>
  <si>
    <t>Ejendomsskatter</t>
  </si>
  <si>
    <t>Erstatninger</t>
  </si>
  <si>
    <t>Oprensning af bassiner</t>
  </si>
  <si>
    <t>Ingen engangstillæg</t>
  </si>
  <si>
    <t xml:space="preserve">Effektiviseringskrav </t>
  </si>
  <si>
    <t xml:space="preserve">kr. </t>
  </si>
  <si>
    <t>Videreførte omkostninger fra den økonomiske ramme for 2022</t>
  </si>
  <si>
    <t>Stejlhøj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</si>
</sst>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15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0" fontId="8" fillId="0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6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49" fontId="8" fillId="9" borderId="6" xfId="0" applyNumberFormat="1" applyFont="1" applyFill="1" applyBorder="1" applyAlignment="1" applyProtection="1">
      <alignment horizontal="left" wrapText="1"/>
    </xf>
    <xf numFmtId="49" fontId="8" fillId="9" borderId="3" xfId="0" applyNumberFormat="1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1" t="s">
        <v>4</v>
      </c>
      <c r="E6" s="61"/>
      <c r="F6" s="61"/>
      <c r="G6" s="61"/>
      <c r="H6" s="3"/>
      <c r="I6" s="1"/>
    </row>
    <row r="7" spans="1:9" ht="15" customHeight="1" x14ac:dyDescent="0.25">
      <c r="A7" s="1"/>
      <c r="B7" s="1"/>
      <c r="C7" s="3"/>
      <c r="D7" s="61"/>
      <c r="E7" s="61"/>
      <c r="F7" s="61"/>
      <c r="G7" s="61"/>
      <c r="H7" s="3"/>
      <c r="I7" s="1"/>
    </row>
    <row r="8" spans="1:9" ht="15.75" x14ac:dyDescent="0.25">
      <c r="A8" s="1"/>
      <c r="B8" s="1"/>
      <c r="C8" s="4"/>
      <c r="D8" s="69" t="s">
        <v>172</v>
      </c>
      <c r="E8" s="69"/>
      <c r="F8" s="69"/>
      <c r="G8" s="69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8" t="s">
        <v>5</v>
      </c>
      <c r="E11" s="68"/>
      <c r="F11" s="68"/>
      <c r="G11" s="68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8" t="s">
        <v>52</v>
      </c>
      <c r="E13" s="59"/>
      <c r="F13" s="59"/>
      <c r="G13" s="60"/>
      <c r="H13" s="1"/>
      <c r="I13" s="1"/>
    </row>
    <row r="14" spans="1:9" x14ac:dyDescent="0.25">
      <c r="A14" s="1"/>
      <c r="B14" s="1"/>
      <c r="C14" s="6" t="s">
        <v>23</v>
      </c>
      <c r="D14" s="58" t="s">
        <v>54</v>
      </c>
      <c r="E14" s="59"/>
      <c r="F14" s="59"/>
      <c r="G14" s="60"/>
      <c r="H14" s="1"/>
      <c r="I14" s="1"/>
    </row>
    <row r="15" spans="1:9" x14ac:dyDescent="0.25">
      <c r="A15" s="1"/>
      <c r="B15" s="1"/>
      <c r="C15" s="6" t="s">
        <v>51</v>
      </c>
      <c r="D15" s="58" t="s">
        <v>135</v>
      </c>
      <c r="E15" s="59"/>
      <c r="F15" s="59"/>
      <c r="G15" s="60"/>
      <c r="H15" s="1"/>
      <c r="I15" s="1"/>
    </row>
    <row r="16" spans="1:9" x14ac:dyDescent="0.25">
      <c r="A16" s="1"/>
      <c r="B16" s="1"/>
      <c r="C16" s="6" t="s">
        <v>53</v>
      </c>
      <c r="D16" s="58" t="s">
        <v>136</v>
      </c>
      <c r="E16" s="59"/>
      <c r="F16" s="59"/>
      <c r="G16" s="60"/>
      <c r="H16" s="1"/>
      <c r="I16" s="1"/>
    </row>
    <row r="17" spans="1:9" x14ac:dyDescent="0.25">
      <c r="A17" s="1"/>
      <c r="B17" s="1"/>
      <c r="C17" s="6" t="s">
        <v>241</v>
      </c>
      <c r="D17" s="58" t="s">
        <v>63</v>
      </c>
      <c r="E17" s="59"/>
      <c r="F17" s="59"/>
      <c r="G17" s="60"/>
      <c r="H17" s="1"/>
      <c r="I17" s="1"/>
    </row>
    <row r="18" spans="1:9" x14ac:dyDescent="0.25">
      <c r="A18" s="1"/>
      <c r="B18" s="1"/>
      <c r="C18" s="6" t="s">
        <v>212</v>
      </c>
      <c r="D18" s="70" t="s">
        <v>180</v>
      </c>
      <c r="E18" s="71"/>
      <c r="F18" s="71"/>
      <c r="G18" s="72"/>
      <c r="H18" s="1"/>
      <c r="I18" s="1"/>
    </row>
    <row r="19" spans="1:9" x14ac:dyDescent="0.25">
      <c r="A19" s="1"/>
      <c r="B19" s="1"/>
      <c r="C19" s="6" t="s">
        <v>213</v>
      </c>
      <c r="D19" s="70" t="s">
        <v>181</v>
      </c>
      <c r="E19" s="71"/>
      <c r="F19" s="71"/>
      <c r="G19" s="72"/>
      <c r="H19" s="1"/>
      <c r="I19" s="1"/>
    </row>
    <row r="20" spans="1:9" x14ac:dyDescent="0.25">
      <c r="A20" s="1"/>
      <c r="B20" s="1"/>
      <c r="C20" s="6" t="s">
        <v>7</v>
      </c>
      <c r="D20" s="70" t="s">
        <v>10</v>
      </c>
      <c r="E20" s="71"/>
      <c r="F20" s="71"/>
      <c r="G20" s="72"/>
      <c r="H20" s="1"/>
      <c r="I20" s="1"/>
    </row>
    <row r="21" spans="1:9" x14ac:dyDescent="0.25">
      <c r="A21" s="1"/>
      <c r="B21" s="1"/>
      <c r="C21" s="6" t="s">
        <v>214</v>
      </c>
      <c r="D21" s="62" t="s">
        <v>17</v>
      </c>
      <c r="E21" s="63"/>
      <c r="F21" s="63"/>
      <c r="G21" s="64"/>
      <c r="H21" s="1"/>
      <c r="I21" s="1"/>
    </row>
    <row r="22" spans="1:9" x14ac:dyDescent="0.25">
      <c r="A22" s="1"/>
      <c r="B22" s="1"/>
      <c r="C22" s="6" t="s">
        <v>142</v>
      </c>
      <c r="D22" s="65" t="s">
        <v>176</v>
      </c>
      <c r="E22" s="66"/>
      <c r="F22" s="66"/>
      <c r="G22" s="67"/>
      <c r="H22" s="1"/>
      <c r="I22" s="1"/>
    </row>
    <row r="23" spans="1:9" x14ac:dyDescent="0.25">
      <c r="A23" s="1"/>
      <c r="B23" s="1"/>
      <c r="C23" s="6" t="s">
        <v>8</v>
      </c>
      <c r="D23" s="65" t="s">
        <v>249</v>
      </c>
      <c r="E23" s="66"/>
      <c r="F23" s="66"/>
      <c r="G23" s="67"/>
      <c r="H23" s="1"/>
      <c r="I23" s="1"/>
    </row>
    <row r="24" spans="1:9" x14ac:dyDescent="0.25">
      <c r="A24" s="1"/>
      <c r="B24" s="1"/>
      <c r="C24" s="6" t="s">
        <v>9</v>
      </c>
      <c r="D24" s="65" t="s">
        <v>55</v>
      </c>
      <c r="E24" s="66"/>
      <c r="F24" s="66"/>
      <c r="G24" s="67"/>
      <c r="H24" s="1"/>
      <c r="I24" s="1"/>
    </row>
    <row r="25" spans="1:9" x14ac:dyDescent="0.25">
      <c r="A25" s="1"/>
      <c r="B25" s="1"/>
      <c r="C25" s="6" t="s">
        <v>215</v>
      </c>
      <c r="D25" s="65" t="s">
        <v>143</v>
      </c>
      <c r="E25" s="66"/>
      <c r="F25" s="66"/>
      <c r="G25" s="67"/>
      <c r="H25" s="1"/>
      <c r="I25" s="1"/>
    </row>
    <row r="26" spans="1:9" x14ac:dyDescent="0.25">
      <c r="A26" s="1"/>
      <c r="B26" s="1"/>
      <c r="C26" s="6" t="s">
        <v>216</v>
      </c>
      <c r="D26" s="65" t="s">
        <v>144</v>
      </c>
      <c r="E26" s="66"/>
      <c r="F26" s="66"/>
      <c r="G26" s="67"/>
      <c r="H26" s="1"/>
      <c r="I26" s="1"/>
    </row>
    <row r="27" spans="1:9" x14ac:dyDescent="0.25">
      <c r="A27" s="1"/>
      <c r="B27" s="1"/>
      <c r="C27" s="6" t="s">
        <v>217</v>
      </c>
      <c r="D27" s="65" t="s">
        <v>145</v>
      </c>
      <c r="E27" s="66"/>
      <c r="F27" s="66"/>
      <c r="G27" s="67"/>
      <c r="H27" s="1"/>
      <c r="I27" s="1"/>
    </row>
    <row r="28" spans="1:9" x14ac:dyDescent="0.25">
      <c r="A28" s="1"/>
      <c r="B28" s="1"/>
      <c r="C28" s="6" t="s">
        <v>22</v>
      </c>
      <c r="D28" s="65" t="s">
        <v>56</v>
      </c>
      <c r="E28" s="66"/>
      <c r="F28" s="66"/>
      <c r="G28" s="67"/>
      <c r="H28" s="1"/>
      <c r="I28" s="1"/>
    </row>
    <row r="29" spans="1:9" x14ac:dyDescent="0.25">
      <c r="A29" s="1"/>
      <c r="B29" s="1"/>
      <c r="C29" s="6" t="s">
        <v>58</v>
      </c>
      <c r="D29" s="65" t="s">
        <v>57</v>
      </c>
      <c r="E29" s="66"/>
      <c r="F29" s="66"/>
      <c r="G29" s="67"/>
      <c r="H29" s="1"/>
      <c r="I29" s="1"/>
    </row>
    <row r="30" spans="1:9" x14ac:dyDescent="0.25">
      <c r="A30" s="1"/>
      <c r="B30" s="1"/>
      <c r="C30" s="6" t="s">
        <v>59</v>
      </c>
      <c r="D30" s="76" t="s">
        <v>11</v>
      </c>
      <c r="E30" s="77"/>
      <c r="F30" s="77"/>
      <c r="G30" s="78"/>
      <c r="H30" s="1"/>
      <c r="I30" s="1"/>
    </row>
    <row r="31" spans="1:9" x14ac:dyDescent="0.25">
      <c r="A31" s="1"/>
      <c r="B31" s="1"/>
      <c r="C31" s="6" t="s">
        <v>175</v>
      </c>
      <c r="D31" s="73" t="s">
        <v>207</v>
      </c>
      <c r="E31" s="74"/>
      <c r="F31" s="74"/>
      <c r="G31" s="75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qB4b2/w3PwkgCqXSyvNToxt/gsHQf06zOUlaUdgxugJLltV3IBueKHjv76ArKaRWuRMicvsBSPCK4lVrgHilng==" saltValue="QN4jGFKWov521cQ30EXwbQ==" spinCount="100000" sheet="1" objects="1" scenarios="1"/>
  <mergeCells count="22">
    <mergeCell ref="D29:G29"/>
    <mergeCell ref="D31:G31"/>
    <mergeCell ref="D18:G18"/>
    <mergeCell ref="D24:G24"/>
    <mergeCell ref="D25:G25"/>
    <mergeCell ref="D28:G28"/>
    <mergeCell ref="D26:G26"/>
    <mergeCell ref="D27:G27"/>
    <mergeCell ref="D23:G23"/>
    <mergeCell ref="D30:G30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1'!A1" display="Samlet økonomisk ramme for 2021"/>
    <hyperlink ref="D25:G25" location="'Fane 10.1. Varige tillæg'!A1" display="Varige tillæg"/>
    <hyperlink ref="D28:G28" location="'Fane 12. Tilknyttet aktivitet'!A1" display="Tilknyttet aktivitet"/>
    <hyperlink ref="D29:G29" location="'Fane 13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2:G22" location="'Fane 7. Kontrol af ØR2018'!A1" display="Kontrol af den økonomiske ramme for 2018"/>
    <hyperlink ref="D24:G24" location="'Fane 9. Anlægsprojekter'!A1" display="Anlægsprojekter"/>
    <hyperlink ref="D31:G31" location="'Fane 15. Nøgletal'!A1" display="Nøgletal"/>
    <hyperlink ref="D17:G17" location="'Fane 3. Omkostninger i ØR2019'!A1" display="Omkostninger i ØR2019"/>
    <hyperlink ref="D26:G26" location="'Fane 10.2. Engangstillæg'!A1" display="Engangstillæg"/>
    <hyperlink ref="D27:G27" location="'Fane 11. Periodevise driftsomk.'!A1" display="Periodevise driftsomkostninger"/>
    <hyperlink ref="D30:G30" location="'Fane 14. Hist. over-underdæk.'!A1" display="Historisk over- eller underdækning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9" t="s">
        <v>220</v>
      </c>
      <c r="C3" s="79"/>
      <c r="D3" s="79"/>
      <c r="E3" s="1"/>
      <c r="F3" s="1"/>
    </row>
    <row r="4" spans="1:6" ht="15" customHeight="1" x14ac:dyDescent="0.25">
      <c r="A4" s="1"/>
      <c r="B4" s="79"/>
      <c r="C4" s="79"/>
      <c r="D4" s="79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4" t="s">
        <v>66</v>
      </c>
      <c r="C8" s="95"/>
      <c r="D8" s="96"/>
      <c r="E8" s="1"/>
      <c r="F8" s="1"/>
    </row>
    <row r="9" spans="1:6" ht="15" customHeight="1" x14ac:dyDescent="0.25">
      <c r="A9" s="1"/>
      <c r="B9" s="33" t="s">
        <v>49</v>
      </c>
      <c r="C9" s="11" t="s">
        <v>67</v>
      </c>
      <c r="D9" s="11"/>
      <c r="E9" s="1"/>
      <c r="F9" s="1"/>
    </row>
    <row r="10" spans="1:6" x14ac:dyDescent="0.25">
      <c r="A10" s="1"/>
      <c r="B10" s="53" t="s">
        <v>274</v>
      </c>
      <c r="C10" s="9">
        <v>45230</v>
      </c>
      <c r="D10" s="14" t="s">
        <v>3</v>
      </c>
      <c r="E10" s="1"/>
      <c r="F10" s="1"/>
    </row>
    <row r="11" spans="1:6" ht="26.25" x14ac:dyDescent="0.25">
      <c r="A11" s="1"/>
      <c r="B11" s="35" t="s">
        <v>275</v>
      </c>
      <c r="C11" s="9">
        <v>39930</v>
      </c>
      <c r="D11" s="14" t="s">
        <v>3</v>
      </c>
      <c r="E11" s="1"/>
      <c r="F11" s="1"/>
    </row>
    <row r="12" spans="1:6" x14ac:dyDescent="0.25">
      <c r="A12" s="1"/>
      <c r="B12" s="35" t="s">
        <v>276</v>
      </c>
      <c r="C12" s="9">
        <v>567681</v>
      </c>
      <c r="D12" s="14" t="s">
        <v>3</v>
      </c>
      <c r="E12" s="1"/>
      <c r="F12" s="1"/>
    </row>
    <row r="13" spans="1:6" x14ac:dyDescent="0.25">
      <c r="A13" s="1"/>
      <c r="B13" s="53" t="s">
        <v>277</v>
      </c>
      <c r="C13" s="9">
        <v>86091</v>
      </c>
      <c r="D13" s="14" t="s">
        <v>3</v>
      </c>
      <c r="E13" s="1"/>
      <c r="F13" s="1"/>
    </row>
    <row r="14" spans="1:6" x14ac:dyDescent="0.25">
      <c r="A14" s="1"/>
      <c r="B14" s="40" t="s">
        <v>68</v>
      </c>
      <c r="C14" s="12">
        <f>SUM(C10:C13)</f>
        <v>738932</v>
      </c>
      <c r="D14" s="13" t="s">
        <v>3</v>
      </c>
      <c r="E14" s="1"/>
      <c r="F14" s="1"/>
    </row>
    <row r="15" spans="1:6" x14ac:dyDescent="0.25">
      <c r="A15" s="1"/>
      <c r="B15" s="40" t="s">
        <v>69</v>
      </c>
      <c r="C15" s="12">
        <f>C14*(1+'Fane 15. Nøgletal'!C12)^2</f>
        <v>768332.69291988004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94" t="s">
        <v>236</v>
      </c>
      <c r="C18" s="95"/>
      <c r="D18" s="96"/>
      <c r="E18" s="1"/>
      <c r="F18" s="1"/>
    </row>
    <row r="19" spans="1:6" x14ac:dyDescent="0.25">
      <c r="A19" s="1"/>
      <c r="B19" s="53" t="s">
        <v>197</v>
      </c>
      <c r="C19" s="9">
        <v>0</v>
      </c>
      <c r="D19" s="14" t="s">
        <v>3</v>
      </c>
      <c r="E19" s="1"/>
      <c r="F19" s="1"/>
    </row>
    <row r="20" spans="1:6" x14ac:dyDescent="0.25">
      <c r="A20" s="1"/>
      <c r="B20" s="53" t="s">
        <v>198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53" t="s">
        <v>199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53" t="s">
        <v>200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94"/>
      <c r="C23" s="95"/>
      <c r="D23" s="96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94" t="s">
        <v>196</v>
      </c>
      <c r="C26" s="95"/>
      <c r="D26" s="96"/>
      <c r="E26" s="1"/>
      <c r="F26" s="1"/>
    </row>
    <row r="27" spans="1:6" x14ac:dyDescent="0.25">
      <c r="A27" s="1"/>
      <c r="B27" s="53" t="s">
        <v>197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53" t="s">
        <v>198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3" t="s">
        <v>199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53" t="s">
        <v>200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94"/>
      <c r="C31" s="95"/>
      <c r="D31" s="96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RCK641pYaz3+RNdl8HnpFvPWMwvoD6CxR3OB794Ocz6PZWWA+euHfhT4EGY+XgwYhoBki5uCX2amW9uIqXLnrg==" saltValue="qkLv3rxLOBRRJOb/HwrtHA==" spinCount="100000" sheet="1" objects="1" scenarios="1"/>
  <mergeCells count="6">
    <mergeCell ref="B31:D31"/>
    <mergeCell ref="B3:D4"/>
    <mergeCell ref="B8:D8"/>
    <mergeCell ref="B18:D18"/>
    <mergeCell ref="B26:D26"/>
    <mergeCell ref="B23:D23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4" t="s">
        <v>226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ht="15" customHeight="1" x14ac:dyDescent="0.25">
      <c r="A5" s="1"/>
      <c r="B5" s="51"/>
      <c r="C5" s="51"/>
      <c r="D5" s="51"/>
      <c r="E5" s="51"/>
      <c r="F5" s="51"/>
      <c r="G5" s="1"/>
    </row>
    <row r="6" spans="1:7" ht="15" customHeight="1" x14ac:dyDescent="0.25">
      <c r="A6" s="1"/>
      <c r="B6" s="51"/>
      <c r="C6" s="51"/>
      <c r="D6" s="51"/>
      <c r="E6" s="51"/>
      <c r="F6" s="5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183</v>
      </c>
      <c r="C8" s="95"/>
      <c r="D8" s="95"/>
      <c r="E8" s="95"/>
      <c r="F8" s="96"/>
      <c r="G8" s="1"/>
    </row>
    <row r="9" spans="1:7" x14ac:dyDescent="0.25">
      <c r="A9" s="1"/>
      <c r="B9" s="97" t="s">
        <v>184</v>
      </c>
      <c r="C9" s="98"/>
      <c r="D9" s="99"/>
      <c r="E9" s="9">
        <v>64774526.178892955</v>
      </c>
      <c r="F9" s="14" t="s">
        <v>3</v>
      </c>
      <c r="G9" s="1"/>
    </row>
    <row r="10" spans="1:7" x14ac:dyDescent="0.25">
      <c r="A10" s="1"/>
      <c r="B10" s="97" t="s">
        <v>185</v>
      </c>
      <c r="C10" s="98"/>
      <c r="D10" s="99"/>
      <c r="E10" s="9">
        <v>65744023</v>
      </c>
      <c r="F10" s="14" t="s">
        <v>3</v>
      </c>
      <c r="G10" s="1"/>
    </row>
    <row r="11" spans="1:7" x14ac:dyDescent="0.25">
      <c r="A11" s="1"/>
      <c r="B11" s="97" t="s">
        <v>50</v>
      </c>
      <c r="C11" s="98"/>
      <c r="D11" s="99"/>
      <c r="E11" s="9">
        <v>0</v>
      </c>
      <c r="F11" s="14" t="s">
        <v>3</v>
      </c>
      <c r="G11" s="1"/>
    </row>
    <row r="12" spans="1:7" x14ac:dyDescent="0.25">
      <c r="A12" s="1"/>
      <c r="B12" s="88" t="s">
        <v>186</v>
      </c>
      <c r="C12" s="89"/>
      <c r="D12" s="90"/>
      <c r="E12" s="10">
        <f>E9-(E10-E11)</f>
        <v>-969496.82110704482</v>
      </c>
      <c r="F12" s="17" t="s">
        <v>3</v>
      </c>
      <c r="G12" s="1"/>
    </row>
    <row r="13" spans="1:7" x14ac:dyDescent="0.25">
      <c r="A13" s="1"/>
      <c r="B13" s="40"/>
      <c r="C13" s="34"/>
      <c r="D13" s="34"/>
      <c r="E13" s="34"/>
      <c r="F13" s="22"/>
      <c r="G13" s="1"/>
    </row>
    <row r="14" spans="1:7" ht="27" customHeight="1" x14ac:dyDescent="0.25">
      <c r="A14" s="1"/>
      <c r="B14" s="81" t="s">
        <v>208</v>
      </c>
      <c r="C14" s="82"/>
      <c r="D14" s="82"/>
      <c r="E14" s="82"/>
      <c r="F14" s="83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94" t="s">
        <v>73</v>
      </c>
      <c r="C17" s="95"/>
      <c r="D17" s="95"/>
      <c r="E17" s="95"/>
      <c r="F17" s="96"/>
      <c r="G17" s="1"/>
    </row>
    <row r="18" spans="1:7" x14ac:dyDescent="0.25">
      <c r="A18" s="1"/>
      <c r="B18" s="97" t="s">
        <v>74</v>
      </c>
      <c r="C18" s="98"/>
      <c r="D18" s="99"/>
      <c r="E18" s="9">
        <v>67974857.298039511</v>
      </c>
      <c r="F18" s="14" t="s">
        <v>3</v>
      </c>
      <c r="G18" s="1"/>
    </row>
    <row r="19" spans="1:7" x14ac:dyDescent="0.25">
      <c r="A19" s="1"/>
      <c r="B19" s="97" t="s">
        <v>75</v>
      </c>
      <c r="C19" s="98"/>
      <c r="D19" s="99"/>
      <c r="E19" s="9">
        <v>65247822</v>
      </c>
      <c r="F19" s="14" t="s">
        <v>3</v>
      </c>
      <c r="G19" s="1"/>
    </row>
    <row r="20" spans="1:7" x14ac:dyDescent="0.25">
      <c r="A20" s="1"/>
      <c r="B20" s="97" t="s">
        <v>50</v>
      </c>
      <c r="C20" s="98"/>
      <c r="D20" s="99"/>
      <c r="E20" s="9">
        <v>0</v>
      </c>
      <c r="F20" s="14" t="s">
        <v>3</v>
      </c>
      <c r="G20" s="1"/>
    </row>
    <row r="21" spans="1:7" x14ac:dyDescent="0.25">
      <c r="A21" s="1"/>
      <c r="B21" s="88" t="s">
        <v>76</v>
      </c>
      <c r="C21" s="89"/>
      <c r="D21" s="90"/>
      <c r="E21" s="10">
        <f>E18-(E19-E20)</f>
        <v>2727035.2980395108</v>
      </c>
      <c r="F21" s="17" t="s">
        <v>3</v>
      </c>
      <c r="G21" s="1"/>
    </row>
    <row r="22" spans="1:7" x14ac:dyDescent="0.25">
      <c r="A22" s="1"/>
      <c r="B22" s="40"/>
      <c r="C22" s="34"/>
      <c r="D22" s="34"/>
      <c r="E22" s="34"/>
      <c r="F22" s="22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94" t="s">
        <v>179</v>
      </c>
      <c r="C25" s="95"/>
      <c r="D25" s="95"/>
      <c r="E25" s="95"/>
      <c r="F25" s="96"/>
      <c r="G25" s="1"/>
    </row>
    <row r="26" spans="1:7" x14ac:dyDescent="0.25">
      <c r="A26" s="1"/>
      <c r="B26" s="105" t="s">
        <v>174</v>
      </c>
      <c r="C26" s="106"/>
      <c r="D26" s="107"/>
      <c r="E26" s="9">
        <f>IF(AND(E12&lt;0,E21&gt;0),E12,IF(AND(E21&lt;0,E12+E21&lt;0),(E12+E21),IF(AND(E12&lt;0,E21&lt;0),(E12+E21),0)))</f>
        <v>-969496.82110704482</v>
      </c>
      <c r="F26" s="14" t="s">
        <v>3</v>
      </c>
      <c r="G26" s="1"/>
    </row>
    <row r="27" spans="1:7" x14ac:dyDescent="0.25">
      <c r="A27" s="1"/>
      <c r="B27" s="105" t="s">
        <v>204</v>
      </c>
      <c r="C27" s="106"/>
      <c r="D27" s="107"/>
      <c r="E27" s="9">
        <v>2</v>
      </c>
      <c r="F27" s="14" t="s">
        <v>28</v>
      </c>
      <c r="G27" s="1"/>
    </row>
    <row r="28" spans="1:7" x14ac:dyDescent="0.25">
      <c r="A28" s="1"/>
      <c r="B28" s="88" t="s">
        <v>251</v>
      </c>
      <c r="C28" s="89"/>
      <c r="D28" s="90"/>
      <c r="E28" s="10">
        <f>E26/E27</f>
        <v>-484748.41055352241</v>
      </c>
      <c r="F28" s="17" t="s">
        <v>3</v>
      </c>
      <c r="G28" s="1"/>
    </row>
    <row r="29" spans="1:7" x14ac:dyDescent="0.25">
      <c r="A29" s="1"/>
      <c r="B29" s="108"/>
      <c r="C29" s="109"/>
      <c r="D29" s="109"/>
      <c r="E29" s="109"/>
      <c r="F29" s="110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9LXZ3hLE0SPHbXO4oSLcU70+56c+xk3zjyvwCTRsGW2xMbyMR/bclDhHu5uQ0BkeA3om9exuJqi5x0KslJvwRQ==" saltValue="V8/Whrh5ngjzl7pb29NOgg==" spinCount="100000" sheet="1" objects="1" scenarios="1"/>
  <mergeCells count="17">
    <mergeCell ref="B25:F25"/>
    <mergeCell ref="B26:D26"/>
    <mergeCell ref="B29:F29"/>
    <mergeCell ref="B27:D27"/>
    <mergeCell ref="B28:D28"/>
    <mergeCell ref="B21:D21"/>
    <mergeCell ref="B3:F4"/>
    <mergeCell ref="B17:F17"/>
    <mergeCell ref="B18:D18"/>
    <mergeCell ref="B19:D19"/>
    <mergeCell ref="B20:D20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4" t="s">
        <v>252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4" t="s">
        <v>177</v>
      </c>
      <c r="C9" s="95"/>
      <c r="D9" s="95"/>
      <c r="E9" s="95"/>
      <c r="F9" s="95"/>
      <c r="G9" s="1"/>
    </row>
    <row r="10" spans="1:7" x14ac:dyDescent="0.25">
      <c r="A10" s="1"/>
      <c r="B10" s="81" t="s">
        <v>201</v>
      </c>
      <c r="C10" s="82"/>
      <c r="D10" s="83"/>
      <c r="E10" s="7">
        <v>0</v>
      </c>
      <c r="F10" s="8" t="s">
        <v>3</v>
      </c>
      <c r="G10" s="1"/>
    </row>
    <row r="11" spans="1:7" x14ac:dyDescent="0.25">
      <c r="A11" s="1"/>
      <c r="B11" s="97" t="s">
        <v>202</v>
      </c>
      <c r="C11" s="98"/>
      <c r="D11" s="99"/>
      <c r="E11" s="7">
        <v>0</v>
      </c>
      <c r="F11" s="8" t="s">
        <v>3</v>
      </c>
      <c r="G11" s="1"/>
    </row>
    <row r="12" spans="1:7" x14ac:dyDescent="0.25">
      <c r="A12" s="1"/>
      <c r="B12" s="88" t="s">
        <v>203</v>
      </c>
      <c r="C12" s="89"/>
      <c r="D12" s="90"/>
      <c r="E12" s="10">
        <f>E11-E10</f>
        <v>0</v>
      </c>
      <c r="F12" s="11" t="s">
        <v>3</v>
      </c>
      <c r="G12" s="1"/>
    </row>
    <row r="13" spans="1:7" x14ac:dyDescent="0.25">
      <c r="A13" s="1"/>
      <c r="B13" s="94" t="s">
        <v>178</v>
      </c>
      <c r="C13" s="95"/>
      <c r="D13" s="95"/>
      <c r="E13" s="95"/>
      <c r="F13" s="95"/>
      <c r="G13" s="1"/>
    </row>
    <row r="14" spans="1:7" x14ac:dyDescent="0.25">
      <c r="A14" s="1"/>
      <c r="B14" s="97" t="s">
        <v>210</v>
      </c>
      <c r="C14" s="98"/>
      <c r="D14" s="99"/>
      <c r="E14" s="9">
        <v>0</v>
      </c>
      <c r="F14" s="8" t="s">
        <v>3</v>
      </c>
      <c r="G14" s="1"/>
    </row>
    <row r="15" spans="1:7" x14ac:dyDescent="0.25">
      <c r="A15" s="1"/>
      <c r="B15" s="81" t="s">
        <v>211</v>
      </c>
      <c r="C15" s="82"/>
      <c r="D15" s="83"/>
      <c r="E15" s="9">
        <v>0</v>
      </c>
      <c r="F15" s="8" t="s">
        <v>3</v>
      </c>
      <c r="G15" s="1"/>
    </row>
    <row r="16" spans="1:7" x14ac:dyDescent="0.25">
      <c r="A16" s="1"/>
      <c r="B16" s="88" t="s">
        <v>203</v>
      </c>
      <c r="C16" s="89"/>
      <c r="D16" s="90"/>
      <c r="E16" s="10">
        <f>E15-E14</f>
        <v>0</v>
      </c>
      <c r="F16" s="11" t="s">
        <v>3</v>
      </c>
      <c r="G16" s="1"/>
    </row>
    <row r="17" spans="1:7" ht="15" customHeight="1" x14ac:dyDescent="0.25">
      <c r="A17" s="1"/>
      <c r="B17" s="94" t="s">
        <v>173</v>
      </c>
      <c r="C17" s="95"/>
      <c r="D17" s="95"/>
      <c r="E17" s="95"/>
      <c r="F17" s="95"/>
      <c r="G17" s="1"/>
    </row>
    <row r="18" spans="1:7" ht="28.15" customHeight="1" x14ac:dyDescent="0.25">
      <c r="A18" s="1"/>
      <c r="B18" s="81" t="s">
        <v>258</v>
      </c>
      <c r="C18" s="82"/>
      <c r="D18" s="83"/>
      <c r="E18" s="9">
        <v>0</v>
      </c>
      <c r="F18" s="8" t="s">
        <v>3</v>
      </c>
      <c r="G18" s="1"/>
    </row>
    <row r="19" spans="1:7" ht="29.25" customHeight="1" x14ac:dyDescent="0.25">
      <c r="A19" s="1"/>
      <c r="B19" s="91" t="s">
        <v>182</v>
      </c>
      <c r="C19" s="92"/>
      <c r="D19" s="93"/>
      <c r="E19" s="10">
        <f>IF('Fane 3. Omkostninger i ØR2019'!E33-'Fane 3. Omkostninger i ØR2019'!E33/(1+'Fane 15. Nøgletal'!C11)^2+E18&lt;0,-('Fane 3. Omkostninger i ØR2019'!E33-'Fane 3. Omkostninger i ØR2019'!E33/(1+'Fane 15. Nøgletal'!C11)^2+E18),0)</f>
        <v>0</v>
      </c>
      <c r="F19" s="11" t="s">
        <v>3</v>
      </c>
      <c r="G19" s="1"/>
    </row>
    <row r="20" spans="1:7" x14ac:dyDescent="0.25">
      <c r="A20" s="1"/>
      <c r="B20" s="40" t="s">
        <v>194</v>
      </c>
      <c r="C20" s="34"/>
      <c r="D20" s="34"/>
      <c r="E20" s="12">
        <f>E12+E16+E19</f>
        <v>0</v>
      </c>
      <c r="F20" s="13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oBA4SlB1ypCd3Dmo8hmIDJzQClIMui16YzgVWu0uhjqUOoVuw4Ycpw2F75nan8v5mKqjStk2UvLvDeB7PQYj3w==" saltValue="nCnF/vL1HviXc6Z4gk3uRQ==" spinCount="100000" sheet="1" objects="1" scenarios="1"/>
  <mergeCells count="12">
    <mergeCell ref="B13:F13"/>
    <mergeCell ref="B17:F17"/>
    <mergeCell ref="B16:D16"/>
    <mergeCell ref="B19:D19"/>
    <mergeCell ref="B3:F4"/>
    <mergeCell ref="B10:D10"/>
    <mergeCell ref="B11:D11"/>
    <mergeCell ref="B14:D14"/>
    <mergeCell ref="B15:D15"/>
    <mergeCell ref="B9:F9"/>
    <mergeCell ref="B12:D12"/>
    <mergeCell ref="B18:D18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71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9" t="s">
        <v>253</v>
      </c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254</v>
      </c>
      <c r="C8" s="95"/>
      <c r="D8" s="95"/>
      <c r="E8" s="95"/>
      <c r="F8" s="95"/>
      <c r="G8" s="95"/>
      <c r="H8" s="96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47</v>
      </c>
      <c r="H9" s="39"/>
      <c r="I9" s="1"/>
    </row>
    <row r="10" spans="1:9" ht="26.25" x14ac:dyDescent="0.25">
      <c r="A10" s="1"/>
      <c r="B10" s="55" t="s">
        <v>259</v>
      </c>
      <c r="C10" s="56">
        <v>75</v>
      </c>
      <c r="D10" s="9">
        <v>1267790.95</v>
      </c>
      <c r="E10" s="9">
        <f>IFERROR(D10/C10,0)</f>
        <v>16903.879333333334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55" t="s">
        <v>260</v>
      </c>
      <c r="C11" s="56">
        <v>75</v>
      </c>
      <c r="D11" s="9">
        <v>37926.870000000003</v>
      </c>
      <c r="E11" s="9">
        <f t="shared" ref="E11:E33" si="0">IFERROR(D11/C11,0)</f>
        <v>505.69160000000005</v>
      </c>
      <c r="F11" s="9">
        <v>0</v>
      </c>
      <c r="G11" s="9">
        <v>0</v>
      </c>
      <c r="H11" s="14" t="s">
        <v>3</v>
      </c>
      <c r="I11" s="1"/>
    </row>
    <row r="12" spans="1:9" x14ac:dyDescent="0.25">
      <c r="A12" s="1"/>
      <c r="B12" s="55" t="s">
        <v>261</v>
      </c>
      <c r="C12" s="56">
        <v>75</v>
      </c>
      <c r="D12" s="9">
        <v>87793.3</v>
      </c>
      <c r="E12" s="9">
        <f t="shared" si="0"/>
        <v>1170.5773333333334</v>
      </c>
      <c r="F12" s="9">
        <v>0</v>
      </c>
      <c r="G12" s="9">
        <v>0</v>
      </c>
      <c r="H12" s="14" t="s">
        <v>3</v>
      </c>
      <c r="I12" s="1"/>
    </row>
    <row r="13" spans="1:9" x14ac:dyDescent="0.25">
      <c r="A13" s="1"/>
      <c r="B13" s="55" t="s">
        <v>261</v>
      </c>
      <c r="C13" s="56">
        <v>75</v>
      </c>
      <c r="D13" s="9">
        <v>163568.01999999999</v>
      </c>
      <c r="E13" s="9">
        <f t="shared" si="0"/>
        <v>2180.9069333333332</v>
      </c>
      <c r="F13" s="9">
        <v>0</v>
      </c>
      <c r="G13" s="9">
        <v>0</v>
      </c>
      <c r="H13" s="14" t="s">
        <v>3</v>
      </c>
      <c r="I13" s="1"/>
    </row>
    <row r="14" spans="1:9" ht="26.25" x14ac:dyDescent="0.25">
      <c r="A14" s="1"/>
      <c r="B14" s="55" t="s">
        <v>262</v>
      </c>
      <c r="C14" s="56">
        <v>75</v>
      </c>
      <c r="D14" s="9">
        <v>241250.76</v>
      </c>
      <c r="E14" s="9">
        <f t="shared" ref="E14:E20" si="1">IFERROR(D14/C14,0)</f>
        <v>3216.6768000000002</v>
      </c>
      <c r="F14" s="9">
        <v>0</v>
      </c>
      <c r="G14" s="9">
        <v>0</v>
      </c>
      <c r="H14" s="14" t="s">
        <v>3</v>
      </c>
      <c r="I14" s="1"/>
    </row>
    <row r="15" spans="1:9" ht="26.25" x14ac:dyDescent="0.25">
      <c r="A15" s="1"/>
      <c r="B15" s="55" t="s">
        <v>263</v>
      </c>
      <c r="C15" s="56">
        <v>50</v>
      </c>
      <c r="D15" s="9">
        <v>659991.54</v>
      </c>
      <c r="E15" s="9">
        <f t="shared" si="1"/>
        <v>13199.830800000002</v>
      </c>
      <c r="F15" s="9">
        <v>0</v>
      </c>
      <c r="G15" s="9">
        <v>0</v>
      </c>
      <c r="H15" s="14" t="s">
        <v>3</v>
      </c>
      <c r="I15" s="1"/>
    </row>
    <row r="16" spans="1:9" x14ac:dyDescent="0.25">
      <c r="A16" s="1"/>
      <c r="B16" s="55" t="s">
        <v>260</v>
      </c>
      <c r="C16" s="56">
        <v>75</v>
      </c>
      <c r="D16" s="9">
        <v>129183.6</v>
      </c>
      <c r="E16" s="9">
        <f t="shared" si="1"/>
        <v>1722.4480000000001</v>
      </c>
      <c r="F16" s="9">
        <v>0</v>
      </c>
      <c r="G16" s="9">
        <v>0</v>
      </c>
      <c r="H16" s="14" t="s">
        <v>3</v>
      </c>
      <c r="I16" s="1"/>
    </row>
    <row r="17" spans="1:9" ht="26.25" x14ac:dyDescent="0.25">
      <c r="A17" s="1"/>
      <c r="B17" s="55" t="s">
        <v>264</v>
      </c>
      <c r="C17" s="56">
        <v>75</v>
      </c>
      <c r="D17" s="9">
        <v>2608749.86</v>
      </c>
      <c r="E17" s="9">
        <f t="shared" si="1"/>
        <v>34783.331466666663</v>
      </c>
      <c r="F17" s="9">
        <v>0</v>
      </c>
      <c r="G17" s="9">
        <v>0</v>
      </c>
      <c r="H17" s="14" t="s">
        <v>3</v>
      </c>
      <c r="I17" s="1"/>
    </row>
    <row r="18" spans="1:9" x14ac:dyDescent="0.25">
      <c r="A18" s="1"/>
      <c r="B18" s="55" t="s">
        <v>260</v>
      </c>
      <c r="C18" s="56">
        <v>75</v>
      </c>
      <c r="D18" s="9">
        <v>226486</v>
      </c>
      <c r="E18" s="9">
        <f t="shared" si="1"/>
        <v>3019.8133333333335</v>
      </c>
      <c r="F18" s="9">
        <v>0</v>
      </c>
      <c r="G18" s="9">
        <v>0</v>
      </c>
      <c r="H18" s="14" t="s">
        <v>3</v>
      </c>
      <c r="I18" s="1"/>
    </row>
    <row r="19" spans="1:9" ht="26.25" x14ac:dyDescent="0.25">
      <c r="A19" s="1"/>
      <c r="B19" s="55" t="s">
        <v>264</v>
      </c>
      <c r="C19" s="56">
        <v>75</v>
      </c>
      <c r="D19" s="9">
        <v>19189.57</v>
      </c>
      <c r="E19" s="9">
        <f t="shared" si="1"/>
        <v>255.86093333333332</v>
      </c>
      <c r="F19" s="9">
        <v>0</v>
      </c>
      <c r="G19" s="9">
        <v>0</v>
      </c>
      <c r="H19" s="14" t="s">
        <v>3</v>
      </c>
      <c r="I19" s="1"/>
    </row>
    <row r="20" spans="1:9" ht="26.25" x14ac:dyDescent="0.25">
      <c r="A20" s="1"/>
      <c r="B20" s="55" t="s">
        <v>262</v>
      </c>
      <c r="C20" s="56">
        <v>75</v>
      </c>
      <c r="D20" s="9">
        <v>225243.87</v>
      </c>
      <c r="E20" s="9">
        <f t="shared" si="1"/>
        <v>3003.2516000000001</v>
      </c>
      <c r="F20" s="9">
        <v>0</v>
      </c>
      <c r="G20" s="9">
        <v>0</v>
      </c>
      <c r="H20" s="14" t="s">
        <v>3</v>
      </c>
      <c r="I20" s="1"/>
    </row>
    <row r="21" spans="1:9" ht="39" x14ac:dyDescent="0.25">
      <c r="A21" s="1"/>
      <c r="B21" s="55" t="s">
        <v>267</v>
      </c>
      <c r="C21" s="56">
        <v>10</v>
      </c>
      <c r="D21" s="9">
        <v>116850.44</v>
      </c>
      <c r="E21" s="9">
        <f t="shared" si="0"/>
        <v>11685.044</v>
      </c>
      <c r="F21" s="9">
        <v>0</v>
      </c>
      <c r="G21" s="9">
        <v>0</v>
      </c>
      <c r="H21" s="14" t="s">
        <v>3</v>
      </c>
      <c r="I21" s="1"/>
    </row>
    <row r="22" spans="1:9" x14ac:dyDescent="0.25">
      <c r="A22" s="1"/>
      <c r="B22" s="55" t="s">
        <v>261</v>
      </c>
      <c r="C22" s="56">
        <v>75</v>
      </c>
      <c r="D22" s="9">
        <v>1809669.02</v>
      </c>
      <c r="E22" s="9">
        <f t="shared" ref="E22:E23" si="2">IFERROR(D22/C22,0)</f>
        <v>24128.920266666668</v>
      </c>
      <c r="F22" s="9">
        <v>0</v>
      </c>
      <c r="G22" s="9">
        <v>0</v>
      </c>
      <c r="H22" s="14" t="s">
        <v>3</v>
      </c>
      <c r="I22" s="1"/>
    </row>
    <row r="23" spans="1:9" ht="26.25" x14ac:dyDescent="0.25">
      <c r="A23" s="1"/>
      <c r="B23" s="55" t="s">
        <v>262</v>
      </c>
      <c r="C23" s="56">
        <v>75</v>
      </c>
      <c r="D23" s="9">
        <v>1387777</v>
      </c>
      <c r="E23" s="9">
        <f t="shared" si="2"/>
        <v>18503.693333333333</v>
      </c>
      <c r="F23" s="9">
        <v>0</v>
      </c>
      <c r="G23" s="9">
        <v>0</v>
      </c>
      <c r="H23" s="14" t="s">
        <v>3</v>
      </c>
      <c r="I23" s="1"/>
    </row>
    <row r="24" spans="1:9" x14ac:dyDescent="0.25">
      <c r="A24" s="1"/>
      <c r="B24" s="55" t="s">
        <v>260</v>
      </c>
      <c r="C24" s="56">
        <v>75</v>
      </c>
      <c r="D24" s="9">
        <v>501660.09</v>
      </c>
      <c r="E24" s="9">
        <f t="shared" si="0"/>
        <v>6688.8012000000008</v>
      </c>
      <c r="F24" s="9">
        <v>0</v>
      </c>
      <c r="G24" s="9">
        <v>0</v>
      </c>
      <c r="H24" s="14" t="s">
        <v>3</v>
      </c>
      <c r="I24" s="1"/>
    </row>
    <row r="25" spans="1:9" x14ac:dyDescent="0.25">
      <c r="A25" s="1"/>
      <c r="B25" s="55" t="s">
        <v>268</v>
      </c>
      <c r="C25" s="56">
        <v>75</v>
      </c>
      <c r="D25" s="9">
        <v>209003</v>
      </c>
      <c r="E25" s="9">
        <f t="shared" si="0"/>
        <v>2786.7066666666665</v>
      </c>
      <c r="F25" s="9">
        <v>0</v>
      </c>
      <c r="G25" s="9">
        <v>0</v>
      </c>
      <c r="H25" s="14" t="s">
        <v>3</v>
      </c>
      <c r="I25" s="1"/>
    </row>
    <row r="26" spans="1:9" ht="39" x14ac:dyDescent="0.25">
      <c r="A26" s="1"/>
      <c r="B26" s="55" t="s">
        <v>269</v>
      </c>
      <c r="C26" s="56">
        <v>30</v>
      </c>
      <c r="D26" s="9">
        <v>26334.3</v>
      </c>
      <c r="E26" s="9">
        <f t="shared" si="0"/>
        <v>877.81</v>
      </c>
      <c r="F26" s="9">
        <v>0</v>
      </c>
      <c r="G26" s="9">
        <v>0</v>
      </c>
      <c r="H26" s="14" t="s">
        <v>3</v>
      </c>
      <c r="I26" s="1"/>
    </row>
    <row r="27" spans="1:9" ht="39" x14ac:dyDescent="0.25">
      <c r="A27" s="1"/>
      <c r="B27" s="55" t="s">
        <v>265</v>
      </c>
      <c r="C27" s="56">
        <v>50</v>
      </c>
      <c r="D27" s="9">
        <v>240024.79</v>
      </c>
      <c r="E27" s="9">
        <f t="shared" si="0"/>
        <v>4800.4958000000006</v>
      </c>
      <c r="F27" s="9">
        <v>0</v>
      </c>
      <c r="G27" s="9">
        <v>0</v>
      </c>
      <c r="H27" s="14" t="s">
        <v>3</v>
      </c>
      <c r="I27" s="1"/>
    </row>
    <row r="28" spans="1:9" ht="39" x14ac:dyDescent="0.25">
      <c r="A28" s="1"/>
      <c r="B28" s="55" t="s">
        <v>266</v>
      </c>
      <c r="C28" s="56">
        <v>20</v>
      </c>
      <c r="D28" s="9">
        <v>210314.46</v>
      </c>
      <c r="E28" s="9">
        <f t="shared" si="0"/>
        <v>10515.723</v>
      </c>
      <c r="F28" s="9">
        <v>0</v>
      </c>
      <c r="G28" s="9">
        <v>0</v>
      </c>
      <c r="H28" s="14" t="s">
        <v>3</v>
      </c>
      <c r="I28" s="1"/>
    </row>
    <row r="29" spans="1:9" x14ac:dyDescent="0.25">
      <c r="A29" s="1"/>
      <c r="B29" s="55" t="s">
        <v>261</v>
      </c>
      <c r="C29" s="56">
        <v>75</v>
      </c>
      <c r="D29" s="9">
        <v>514079.63</v>
      </c>
      <c r="E29" s="9">
        <f t="shared" si="0"/>
        <v>6854.3950666666669</v>
      </c>
      <c r="F29" s="9">
        <v>0</v>
      </c>
      <c r="G29" s="9">
        <v>0</v>
      </c>
      <c r="H29" s="14" t="s">
        <v>3</v>
      </c>
      <c r="I29" s="1"/>
    </row>
    <row r="30" spans="1:9" ht="26.25" x14ac:dyDescent="0.25">
      <c r="A30" s="1"/>
      <c r="B30" s="55" t="s">
        <v>262</v>
      </c>
      <c r="C30" s="56">
        <v>75</v>
      </c>
      <c r="D30" s="9">
        <v>514079.64</v>
      </c>
      <c r="E30" s="9">
        <f t="shared" si="0"/>
        <v>6854.3951999999999</v>
      </c>
      <c r="F30" s="9">
        <v>0</v>
      </c>
      <c r="G30" s="9">
        <v>0</v>
      </c>
      <c r="H30" s="14" t="s">
        <v>3</v>
      </c>
      <c r="I30" s="1"/>
    </row>
    <row r="31" spans="1:9" ht="39" x14ac:dyDescent="0.25">
      <c r="A31" s="1"/>
      <c r="B31" s="55" t="s">
        <v>265</v>
      </c>
      <c r="C31" s="56">
        <v>50</v>
      </c>
      <c r="D31" s="9">
        <v>201422</v>
      </c>
      <c r="E31" s="9">
        <f t="shared" si="0"/>
        <v>4028.44</v>
      </c>
      <c r="F31" s="9">
        <v>0</v>
      </c>
      <c r="G31" s="9">
        <v>0</v>
      </c>
      <c r="H31" s="14" t="s">
        <v>3</v>
      </c>
      <c r="I31" s="1"/>
    </row>
    <row r="32" spans="1:9" ht="39" x14ac:dyDescent="0.25">
      <c r="A32" s="1"/>
      <c r="B32" s="55" t="s">
        <v>266</v>
      </c>
      <c r="C32" s="56">
        <v>20</v>
      </c>
      <c r="D32" s="9">
        <v>43946</v>
      </c>
      <c r="E32" s="9">
        <f t="shared" si="0"/>
        <v>2197.3000000000002</v>
      </c>
      <c r="F32" s="9">
        <v>0</v>
      </c>
      <c r="G32" s="9">
        <v>0</v>
      </c>
      <c r="H32" s="14" t="s">
        <v>3</v>
      </c>
      <c r="I32" s="1"/>
    </row>
    <row r="33" spans="1:9" ht="39" x14ac:dyDescent="0.25">
      <c r="A33" s="1"/>
      <c r="B33" s="55" t="s">
        <v>270</v>
      </c>
      <c r="C33" s="56">
        <v>20</v>
      </c>
      <c r="D33" s="9">
        <v>1002419.59</v>
      </c>
      <c r="E33" s="9">
        <f t="shared" si="0"/>
        <v>50120.979500000001</v>
      </c>
      <c r="F33" s="9">
        <v>0</v>
      </c>
      <c r="G33" s="9">
        <v>0</v>
      </c>
      <c r="H33" s="14" t="s">
        <v>3</v>
      </c>
      <c r="I33" s="1"/>
    </row>
    <row r="34" spans="1:9" ht="39" x14ac:dyDescent="0.25">
      <c r="A34" s="1"/>
      <c r="B34" s="55" t="s">
        <v>271</v>
      </c>
      <c r="C34" s="56">
        <v>10</v>
      </c>
      <c r="D34" s="9">
        <v>18936.75</v>
      </c>
      <c r="E34" s="9">
        <f t="shared" ref="E34:E35" si="3">IFERROR(D34/C34,0)</f>
        <v>1893.675</v>
      </c>
      <c r="F34" s="9">
        <v>0</v>
      </c>
      <c r="G34" s="9">
        <v>0</v>
      </c>
      <c r="H34" s="14" t="s">
        <v>3</v>
      </c>
      <c r="I34" s="1"/>
    </row>
    <row r="35" spans="1:9" ht="39" x14ac:dyDescent="0.25">
      <c r="A35" s="1"/>
      <c r="B35" s="55" t="s">
        <v>272</v>
      </c>
      <c r="C35" s="56">
        <v>20</v>
      </c>
      <c r="D35" s="9">
        <v>121729.68</v>
      </c>
      <c r="E35" s="9">
        <f t="shared" si="3"/>
        <v>6086.4839999999995</v>
      </c>
      <c r="F35" s="9">
        <v>0</v>
      </c>
      <c r="G35" s="9">
        <v>0</v>
      </c>
      <c r="H35" s="14" t="s">
        <v>3</v>
      </c>
      <c r="I35" s="1"/>
    </row>
    <row r="36" spans="1:9" x14ac:dyDescent="0.25">
      <c r="A36" s="1"/>
      <c r="B36" s="94" t="s">
        <v>255</v>
      </c>
      <c r="C36" s="95"/>
      <c r="D36" s="96"/>
      <c r="E36" s="12">
        <f>SUM(E10:E35)</f>
        <v>237985.13116666663</v>
      </c>
      <c r="F36" s="12">
        <f>SUM(F10:F35)</f>
        <v>0</v>
      </c>
      <c r="G36" s="12">
        <f>SUM(G10:G35)</f>
        <v>0</v>
      </c>
      <c r="H36" s="13" t="s">
        <v>3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B59" s="1"/>
      <c r="C59" s="1"/>
      <c r="D59" s="1"/>
      <c r="E59" s="1"/>
      <c r="F59" s="1"/>
      <c r="G59" s="1"/>
      <c r="H59" s="1"/>
    </row>
    <row r="60" spans="1:9" x14ac:dyDescent="0.25">
      <c r="B60" s="1"/>
      <c r="C60" s="1"/>
      <c r="D60" s="1"/>
      <c r="E60" s="1"/>
      <c r="F60" s="1"/>
      <c r="G60" s="1"/>
      <c r="H60" s="1"/>
    </row>
    <row r="61" spans="1:9" x14ac:dyDescent="0.25">
      <c r="B61" s="1"/>
      <c r="C61" s="1"/>
      <c r="D61" s="1"/>
      <c r="E61" s="1"/>
      <c r="F61" s="1"/>
      <c r="G61" s="1"/>
      <c r="H61" s="1"/>
    </row>
    <row r="62" spans="1:9" x14ac:dyDescent="0.25">
      <c r="B62" s="1"/>
      <c r="C62" s="1"/>
      <c r="D62" s="1"/>
      <c r="E62" s="1"/>
      <c r="F62" s="1"/>
      <c r="G62" s="1"/>
      <c r="H62" s="1"/>
    </row>
    <row r="63" spans="1:9" x14ac:dyDescent="0.25">
      <c r="B63" s="1"/>
      <c r="C63" s="1"/>
      <c r="D63" s="1"/>
      <c r="E63" s="1"/>
      <c r="F63" s="1"/>
      <c r="G63" s="1"/>
      <c r="H63" s="1"/>
    </row>
    <row r="64" spans="1:9" x14ac:dyDescent="0.25">
      <c r="B64" s="1"/>
      <c r="C64" s="1"/>
      <c r="D64" s="1"/>
      <c r="E64" s="1"/>
      <c r="F64" s="1"/>
      <c r="G64" s="1"/>
      <c r="H64" s="1"/>
    </row>
    <row r="65" spans="2:8" x14ac:dyDescent="0.25">
      <c r="B65" s="1"/>
      <c r="C65" s="1"/>
      <c r="D65" s="1"/>
      <c r="E65" s="1"/>
      <c r="F65" s="1"/>
      <c r="G65" s="1"/>
      <c r="H65" s="1"/>
    </row>
    <row r="66" spans="2:8" x14ac:dyDescent="0.25">
      <c r="B66" s="1"/>
      <c r="C66" s="1"/>
      <c r="D66" s="1"/>
      <c r="E66" s="1"/>
      <c r="F66" s="1"/>
      <c r="G66" s="1"/>
      <c r="H66" s="1"/>
    </row>
    <row r="67" spans="2:8" x14ac:dyDescent="0.25">
      <c r="B67" s="1"/>
      <c r="C67" s="1"/>
      <c r="D67" s="1"/>
      <c r="E67" s="1"/>
      <c r="F67" s="1"/>
      <c r="G67" s="1"/>
      <c r="H67" s="1"/>
    </row>
    <row r="68" spans="2:8" x14ac:dyDescent="0.25">
      <c r="B68" s="1"/>
      <c r="C68" s="1"/>
      <c r="D68" s="1"/>
      <c r="E68" s="1"/>
      <c r="F68" s="1"/>
      <c r="G68" s="1"/>
      <c r="H68" s="1"/>
    </row>
    <row r="69" spans="2:8" x14ac:dyDescent="0.25">
      <c r="B69" s="1"/>
      <c r="C69" s="1"/>
      <c r="D69" s="1"/>
      <c r="E69" s="1"/>
      <c r="F69" s="1"/>
      <c r="G69" s="1"/>
      <c r="H69" s="1"/>
    </row>
    <row r="70" spans="2:8" x14ac:dyDescent="0.25">
      <c r="B70" s="1"/>
      <c r="C70" s="1"/>
      <c r="D70" s="1"/>
      <c r="E70" s="1"/>
      <c r="F70" s="1"/>
      <c r="G70" s="1"/>
      <c r="H70" s="1"/>
    </row>
    <row r="71" spans="2:8" x14ac:dyDescent="0.25">
      <c r="B71" s="1"/>
      <c r="C71" s="1"/>
      <c r="D71" s="1"/>
      <c r="E71" s="1"/>
      <c r="F71" s="1"/>
      <c r="G71" s="1"/>
      <c r="H71" s="1"/>
    </row>
  </sheetData>
  <sheetProtection algorithmName="SHA-512" hashValue="lzPUq4VJmi/4EnvhDZwcBqbPkHgIbKoxTHa3mM17j0tCTNOwvDMnzfQiIK9GDC/1Vz2oBlLg2ElVLrj63Fso6A==" saltValue="rT/aSZ5w+Au1psAYKQ4svQ==" spinCount="100000" sheet="1" objects="1" scenarios="1"/>
  <mergeCells count="3">
    <mergeCell ref="B3:H4"/>
    <mergeCell ref="B36:D36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225</v>
      </c>
      <c r="C3" s="79"/>
      <c r="D3" s="79"/>
      <c r="E3" s="79"/>
      <c r="F3" s="79"/>
      <c r="G3" s="1"/>
    </row>
    <row r="4" spans="1:7" ht="1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139</v>
      </c>
      <c r="C8" s="34"/>
      <c r="D8" s="34"/>
      <c r="E8" s="34"/>
      <c r="F8" s="22"/>
      <c r="G8" s="1"/>
    </row>
    <row r="9" spans="1:7" ht="17.25" customHeight="1" x14ac:dyDescent="0.25">
      <c r="A9" s="1"/>
      <c r="B9" s="49" t="s">
        <v>25</v>
      </c>
      <c r="C9" s="49" t="s">
        <v>16</v>
      </c>
      <c r="D9" s="50"/>
      <c r="E9" s="49" t="s">
        <v>48</v>
      </c>
      <c r="F9" s="39"/>
      <c r="G9" s="1"/>
    </row>
    <row r="10" spans="1:7" x14ac:dyDescent="0.25">
      <c r="A10" s="1"/>
      <c r="B10" s="27" t="s">
        <v>273</v>
      </c>
      <c r="C10" s="24">
        <f>'Fane 9. Anlægsprojekter'!F36</f>
        <v>0</v>
      </c>
      <c r="D10" s="14" t="s">
        <v>3</v>
      </c>
      <c r="E10" s="9">
        <f>SUM('Fane 9. Anlægsprojekter'!E36,'Fane 9. Anlægsprojekter'!G36)</f>
        <v>237985.13116666663</v>
      </c>
      <c r="F10" s="14" t="s">
        <v>3</v>
      </c>
      <c r="G10" s="1"/>
    </row>
    <row r="11" spans="1:7" x14ac:dyDescent="0.25">
      <c r="A11" s="1"/>
      <c r="B11" s="27" t="s">
        <v>283</v>
      </c>
      <c r="C11" s="24">
        <v>0</v>
      </c>
      <c r="D11" s="14" t="s">
        <v>3</v>
      </c>
      <c r="E11" s="9">
        <v>47150</v>
      </c>
      <c r="F11" s="14" t="s">
        <v>3</v>
      </c>
      <c r="G11" s="1"/>
    </row>
    <row r="12" spans="1:7" x14ac:dyDescent="0.25">
      <c r="A12" s="1"/>
      <c r="B12" s="57" t="s">
        <v>278</v>
      </c>
      <c r="C12" s="24">
        <v>14916</v>
      </c>
      <c r="D12" s="14" t="s">
        <v>3</v>
      </c>
      <c r="E12" s="9">
        <v>0</v>
      </c>
      <c r="F12" s="14" t="s">
        <v>3</v>
      </c>
      <c r="G12" s="1"/>
    </row>
    <row r="13" spans="1:7" x14ac:dyDescent="0.25">
      <c r="A13" s="1"/>
      <c r="B13" s="40" t="s">
        <v>60</v>
      </c>
      <c r="C13" s="12">
        <f>SUM(C10:C12)</f>
        <v>14916</v>
      </c>
      <c r="D13" s="13" t="s">
        <v>3</v>
      </c>
      <c r="E13" s="12">
        <f>SUM(E10:E12)</f>
        <v>285135.13116666663</v>
      </c>
      <c r="F13" s="13" t="s">
        <v>3</v>
      </c>
      <c r="G13" s="1"/>
    </row>
    <row r="14" spans="1:7" x14ac:dyDescent="0.25">
      <c r="A14" s="1"/>
      <c r="B14" s="40" t="s">
        <v>70</v>
      </c>
      <c r="C14" s="12">
        <f>C13*(1+'Fane 15. Nøgletal'!C12)</f>
        <v>15209.845200000002</v>
      </c>
      <c r="D14" s="13" t="s">
        <v>3</v>
      </c>
      <c r="E14" s="12">
        <f>E13*(1+'Fane 15. Nøgletal'!C12)</f>
        <v>290752.29325064999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J3vUMp+kkf5inYU0F7UG9kMAeA76w9H92kHbcSCZtsOU792+lcJ1+YvlK2/Cen0iUWJtXdRLxB525C5iJyXa1Q==" saltValue="5pCCTmbrAGRjZhNlZEoET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224</v>
      </c>
      <c r="C3" s="79"/>
      <c r="D3" s="79"/>
      <c r="E3" s="79"/>
      <c r="F3" s="79"/>
      <c r="G3" s="1"/>
    </row>
    <row r="4" spans="1:7" ht="1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187</v>
      </c>
      <c r="C8" s="95"/>
      <c r="D8" s="95"/>
      <c r="E8" s="95"/>
      <c r="F8" s="96"/>
      <c r="G8" s="1"/>
    </row>
    <row r="9" spans="1:7" x14ac:dyDescent="0.25">
      <c r="A9" s="1"/>
      <c r="B9" s="49" t="s">
        <v>25</v>
      </c>
      <c r="C9" s="49" t="s">
        <v>16</v>
      </c>
      <c r="D9" s="50"/>
      <c r="E9" s="49" t="s">
        <v>48</v>
      </c>
      <c r="F9" s="39"/>
      <c r="G9" s="1"/>
    </row>
    <row r="10" spans="1:7" x14ac:dyDescent="0.25">
      <c r="A10" s="1"/>
      <c r="B10" s="27" t="s">
        <v>278</v>
      </c>
      <c r="C10" s="24">
        <v>1491626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191</v>
      </c>
      <c r="C11" s="12">
        <f>SUM(C10:C10)</f>
        <v>1491626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krav'!G11</f>
        <v>-4464.3468433914322</v>
      </c>
      <c r="D12" s="31" t="s">
        <v>3</v>
      </c>
      <c r="E12" s="30">
        <f>-E11*'Fane 5. Individuelt eff. krav'!G11</f>
        <v>0</v>
      </c>
      <c r="F12" s="31" t="s">
        <v>3</v>
      </c>
      <c r="G12" s="1"/>
    </row>
    <row r="13" spans="1:7" x14ac:dyDescent="0.25">
      <c r="A13" s="1"/>
      <c r="B13" s="29" t="s">
        <v>195</v>
      </c>
      <c r="C13" s="30">
        <f>-C11*'Fane 15. Nøgletal'!C25</f>
        <v>-29832.52</v>
      </c>
      <c r="D13" s="31" t="s">
        <v>3</v>
      </c>
      <c r="E13" s="30">
        <f>-E11*'Fane 15. Nøgletal'!C20</f>
        <v>0</v>
      </c>
      <c r="F13" s="31" t="s">
        <v>3</v>
      </c>
      <c r="G13" s="1"/>
    </row>
    <row r="14" spans="1:7" x14ac:dyDescent="0.25">
      <c r="A14" s="1"/>
      <c r="B14" s="40" t="s">
        <v>192</v>
      </c>
      <c r="C14" s="12">
        <f>SUM(C11:C13)*(1+'Fane 15. Nøgletal'!C12)^2</f>
        <v>1515313.4758662658</v>
      </c>
      <c r="D14" s="13" t="s">
        <v>3</v>
      </c>
      <c r="E14" s="12">
        <f>SUM(E11:E13)*(1+'Fane 15.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4" t="s">
        <v>188</v>
      </c>
      <c r="C16" s="95"/>
      <c r="D16" s="95"/>
      <c r="E16" s="95"/>
      <c r="F16" s="96"/>
      <c r="G16" s="1"/>
    </row>
    <row r="17" spans="1:7" x14ac:dyDescent="0.25">
      <c r="A17" s="1"/>
      <c r="B17" s="49" t="s">
        <v>25</v>
      </c>
      <c r="C17" s="49" t="s">
        <v>16</v>
      </c>
      <c r="D17" s="50"/>
      <c r="E17" s="49" t="s">
        <v>48</v>
      </c>
      <c r="F17" s="39"/>
      <c r="G17" s="1"/>
    </row>
    <row r="18" spans="1:7" x14ac:dyDescent="0.25">
      <c r="A18" s="1"/>
      <c r="B18" s="27" t="s">
        <v>279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0" t="s">
        <v>191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krav'!G11</f>
        <v>0</v>
      </c>
      <c r="D20" s="31" t="s">
        <v>3</v>
      </c>
      <c r="E20" s="30">
        <f>-E19*'Fane 5. Individuelt eff. krav'!G11</f>
        <v>0</v>
      </c>
      <c r="F20" s="31" t="s">
        <v>3</v>
      </c>
      <c r="G20" s="1"/>
    </row>
    <row r="21" spans="1:7" x14ac:dyDescent="0.25">
      <c r="A21" s="1"/>
      <c r="B21" s="29" t="s">
        <v>195</v>
      </c>
      <c r="C21" s="30">
        <f>-C19*'Fane 15. Nøgletal'!C25</f>
        <v>0</v>
      </c>
      <c r="D21" s="31" t="s">
        <v>3</v>
      </c>
      <c r="E21" s="30">
        <f>-E19*'Fane 15. Nøgletal'!C20</f>
        <v>0</v>
      </c>
      <c r="F21" s="31" t="s">
        <v>3</v>
      </c>
      <c r="G21" s="1"/>
    </row>
    <row r="22" spans="1:7" x14ac:dyDescent="0.25">
      <c r="A22" s="1"/>
      <c r="B22" s="40" t="s">
        <v>193</v>
      </c>
      <c r="C22" s="12">
        <f>SUM(C19:C21)*(1+'Fane 15. Nøgletal'!C12)^3</f>
        <v>0</v>
      </c>
      <c r="D22" s="13" t="s">
        <v>3</v>
      </c>
      <c r="E22" s="12">
        <f>SUM(E19:E21)*(1+'Fane 15.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4" t="s">
        <v>189</v>
      </c>
      <c r="C24" s="95"/>
      <c r="D24" s="95"/>
      <c r="E24" s="95"/>
      <c r="F24" s="96"/>
      <c r="G24" s="1"/>
    </row>
    <row r="25" spans="1:7" x14ac:dyDescent="0.25">
      <c r="A25" s="1"/>
      <c r="B25" s="49" t="s">
        <v>25</v>
      </c>
      <c r="C25" s="49" t="s">
        <v>16</v>
      </c>
      <c r="D25" s="50"/>
      <c r="E25" s="49" t="s">
        <v>48</v>
      </c>
      <c r="F25" s="39"/>
      <c r="G25" s="1"/>
    </row>
    <row r="26" spans="1:7" x14ac:dyDescent="0.25">
      <c r="A26" s="1"/>
      <c r="B26" s="27" t="s">
        <v>279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0" t="s">
        <v>191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krav'!G11</f>
        <v>0</v>
      </c>
      <c r="D28" s="31" t="s">
        <v>3</v>
      </c>
      <c r="E28" s="30">
        <f>-E27*'Fane 5. Individuelt eff. krav'!G11</f>
        <v>0</v>
      </c>
      <c r="F28" s="31" t="s">
        <v>3</v>
      </c>
      <c r="G28" s="1"/>
    </row>
    <row r="29" spans="1:7" x14ac:dyDescent="0.25">
      <c r="A29" s="1"/>
      <c r="B29" s="29" t="s">
        <v>195</v>
      </c>
      <c r="C29" s="30">
        <f>-C27*'Fane 15. Nøgletal'!C25</f>
        <v>0</v>
      </c>
      <c r="D29" s="31" t="s">
        <v>3</v>
      </c>
      <c r="E29" s="30">
        <f>-E27*'Fane 15. Nøgletal'!C20</f>
        <v>0</v>
      </c>
      <c r="F29" s="31" t="s">
        <v>3</v>
      </c>
      <c r="G29" s="1"/>
    </row>
    <row r="30" spans="1:7" x14ac:dyDescent="0.25">
      <c r="A30" s="1"/>
      <c r="B30" s="40" t="s">
        <v>193</v>
      </c>
      <c r="C30" s="12">
        <f>SUM(C27:C29)*(1+'Fane 15. Nøgletal'!C12)^4</f>
        <v>0</v>
      </c>
      <c r="D30" s="13" t="s">
        <v>3</v>
      </c>
      <c r="E30" s="12">
        <f>SUM(E27:E29)*(1+'Fane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4" t="s">
        <v>190</v>
      </c>
      <c r="C32" s="95"/>
      <c r="D32" s="95"/>
      <c r="E32" s="95"/>
      <c r="F32" s="96"/>
      <c r="G32" s="1"/>
    </row>
    <row r="33" spans="1:7" x14ac:dyDescent="0.25">
      <c r="A33" s="1"/>
      <c r="B33" s="49" t="s">
        <v>25</v>
      </c>
      <c r="C33" s="49" t="s">
        <v>16</v>
      </c>
      <c r="D33" s="50"/>
      <c r="E33" s="49" t="s">
        <v>48</v>
      </c>
      <c r="F33" s="39"/>
      <c r="G33" s="1"/>
    </row>
    <row r="34" spans="1:7" x14ac:dyDescent="0.25">
      <c r="A34" s="1"/>
      <c r="B34" s="27" t="s">
        <v>279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0" t="s">
        <v>191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krav'!G11</f>
        <v>0</v>
      </c>
      <c r="D36" s="31" t="s">
        <v>3</v>
      </c>
      <c r="E36" s="30">
        <f>-E35*'Fane 5. Individuelt eff. krav'!G11</f>
        <v>0</v>
      </c>
      <c r="F36" s="31" t="s">
        <v>3</v>
      </c>
      <c r="G36" s="1"/>
    </row>
    <row r="37" spans="1:7" x14ac:dyDescent="0.25">
      <c r="A37" s="1"/>
      <c r="B37" s="29" t="s">
        <v>195</v>
      </c>
      <c r="C37" s="30">
        <f>-C35*'Fane 15. Nøgletal'!C25</f>
        <v>0</v>
      </c>
      <c r="D37" s="31" t="s">
        <v>3</v>
      </c>
      <c r="E37" s="30">
        <f>-E35*'Fane 15. Nøgletal'!C20</f>
        <v>0</v>
      </c>
      <c r="F37" s="31" t="s">
        <v>3</v>
      </c>
      <c r="G37" s="1"/>
    </row>
    <row r="38" spans="1:7" x14ac:dyDescent="0.25">
      <c r="A38" s="1"/>
      <c r="B38" s="40" t="s">
        <v>193</v>
      </c>
      <c r="C38" s="12">
        <f>SUM(C35:C37)*(1+'Fane 15. Nøgletal'!C12)^5</f>
        <v>0</v>
      </c>
      <c r="D38" s="13" t="s">
        <v>3</v>
      </c>
      <c r="E38" s="12">
        <f>SUM(E35:E37)*(1+'Fane 15.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NmyqygeYba+Lf8+EPZbpoGyhr5vkYCgd1hB+WUcEHQ3Z1zo14Br3YQFLQM7iqk4+mm/RHV9X1nPoe0i4vvuLwA==" saltValue="8Snks5rRr5Tfx/oAm+C5A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227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4"/>
      <c r="C5" s="84"/>
      <c r="D5" s="84"/>
      <c r="E5" s="84"/>
      <c r="F5" s="8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160</v>
      </c>
      <c r="C8" s="95"/>
      <c r="D8" s="95"/>
      <c r="E8" s="95"/>
      <c r="F8" s="96"/>
      <c r="G8" s="1"/>
    </row>
    <row r="9" spans="1:7" x14ac:dyDescent="0.25">
      <c r="A9" s="1"/>
      <c r="B9" s="111" t="s">
        <v>159</v>
      </c>
      <c r="C9" s="112"/>
      <c r="D9" s="113"/>
      <c r="E9" s="9">
        <v>0</v>
      </c>
      <c r="F9" s="14" t="s">
        <v>3</v>
      </c>
      <c r="G9" s="1"/>
    </row>
    <row r="10" spans="1:7" x14ac:dyDescent="0.25">
      <c r="A10" s="1"/>
      <c r="B10" s="85" t="s">
        <v>10</v>
      </c>
      <c r="C10" s="86"/>
      <c r="D10" s="87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85" t="s">
        <v>39</v>
      </c>
      <c r="C11" s="86"/>
      <c r="D11" s="87"/>
      <c r="E11" s="9">
        <f>-E9*'Fane 15. Nøgletal'!C25</f>
        <v>0</v>
      </c>
      <c r="F11" s="14" t="s">
        <v>3</v>
      </c>
      <c r="G11" s="1"/>
    </row>
    <row r="12" spans="1:7" x14ac:dyDescent="0.25">
      <c r="A12" s="1"/>
      <c r="B12" s="94" t="s">
        <v>164</v>
      </c>
      <c r="C12" s="95"/>
      <c r="D12" s="96"/>
      <c r="E12" s="12">
        <f>SUM(E9:E11)*(1+'Fane 15. Nøgletal'!C12)^2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4" t="s">
        <v>161</v>
      </c>
      <c r="C14" s="95"/>
      <c r="D14" s="95"/>
      <c r="E14" s="95"/>
      <c r="F14" s="96"/>
      <c r="G14" s="1"/>
    </row>
    <row r="15" spans="1:7" x14ac:dyDescent="0.25">
      <c r="A15" s="1"/>
      <c r="B15" s="111" t="s">
        <v>159</v>
      </c>
      <c r="C15" s="112"/>
      <c r="D15" s="113"/>
      <c r="E15" s="9">
        <v>0</v>
      </c>
      <c r="F15" s="14" t="s">
        <v>3</v>
      </c>
      <c r="G15" s="1"/>
    </row>
    <row r="16" spans="1:7" x14ac:dyDescent="0.25">
      <c r="A16" s="1"/>
      <c r="B16" s="85" t="s">
        <v>10</v>
      </c>
      <c r="C16" s="86"/>
      <c r="D16" s="87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85" t="s">
        <v>39</v>
      </c>
      <c r="C17" s="86"/>
      <c r="D17" s="87"/>
      <c r="E17" s="9">
        <f>-E15*'Fane 15. Nøgletal'!C25</f>
        <v>0</v>
      </c>
      <c r="F17" s="14" t="s">
        <v>3</v>
      </c>
      <c r="G17" s="1"/>
    </row>
    <row r="18" spans="1:7" x14ac:dyDescent="0.25">
      <c r="A18" s="1"/>
      <c r="B18" s="94" t="s">
        <v>165</v>
      </c>
      <c r="C18" s="95"/>
      <c r="D18" s="96"/>
      <c r="E18" s="12">
        <f>SUM(E15:E17)*(1+'Fane 15. Nøgletal'!C12)^3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4" t="s">
        <v>162</v>
      </c>
      <c r="C20" s="95"/>
      <c r="D20" s="95"/>
      <c r="E20" s="95"/>
      <c r="F20" s="96"/>
      <c r="G20" s="1"/>
    </row>
    <row r="21" spans="1:7" x14ac:dyDescent="0.25">
      <c r="A21" s="1"/>
      <c r="B21" s="111" t="s">
        <v>159</v>
      </c>
      <c r="C21" s="112"/>
      <c r="D21" s="113"/>
      <c r="E21" s="9">
        <v>0</v>
      </c>
      <c r="F21" s="14" t="s">
        <v>3</v>
      </c>
      <c r="G21" s="1"/>
    </row>
    <row r="22" spans="1:7" x14ac:dyDescent="0.25">
      <c r="A22" s="1"/>
      <c r="B22" s="85" t="s">
        <v>10</v>
      </c>
      <c r="C22" s="86"/>
      <c r="D22" s="87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85" t="s">
        <v>39</v>
      </c>
      <c r="C23" s="86"/>
      <c r="D23" s="87"/>
      <c r="E23" s="9">
        <f>-E21*'Fane 15. Nøgletal'!C25</f>
        <v>0</v>
      </c>
      <c r="F23" s="14" t="s">
        <v>3</v>
      </c>
      <c r="G23" s="1"/>
    </row>
    <row r="24" spans="1:7" x14ac:dyDescent="0.25">
      <c r="A24" s="1"/>
      <c r="B24" s="94" t="s">
        <v>166</v>
      </c>
      <c r="C24" s="95"/>
      <c r="D24" s="96"/>
      <c r="E24" s="12">
        <f>SUM(E21:E23)*(1+'Fane 15. Nøgletal'!C12)^4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4" t="s">
        <v>163</v>
      </c>
      <c r="C26" s="95"/>
      <c r="D26" s="95"/>
      <c r="E26" s="95"/>
      <c r="F26" s="96"/>
      <c r="G26" s="1"/>
    </row>
    <row r="27" spans="1:7" x14ac:dyDescent="0.25">
      <c r="A27" s="1"/>
      <c r="B27" s="111" t="s">
        <v>159</v>
      </c>
      <c r="C27" s="112"/>
      <c r="D27" s="113"/>
      <c r="E27" s="9">
        <v>0</v>
      </c>
      <c r="F27" s="14" t="s">
        <v>3</v>
      </c>
      <c r="G27" s="1"/>
    </row>
    <row r="28" spans="1:7" x14ac:dyDescent="0.25">
      <c r="A28" s="1"/>
      <c r="B28" s="85" t="s">
        <v>10</v>
      </c>
      <c r="C28" s="86"/>
      <c r="D28" s="87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85" t="s">
        <v>39</v>
      </c>
      <c r="C29" s="86"/>
      <c r="D29" s="87"/>
      <c r="E29" s="9">
        <f>-E27*'Fane 15. Nøgletal'!C25</f>
        <v>0</v>
      </c>
      <c r="F29" s="14" t="s">
        <v>3</v>
      </c>
      <c r="G29" s="1"/>
    </row>
    <row r="30" spans="1:7" x14ac:dyDescent="0.25">
      <c r="A30" s="1"/>
      <c r="B30" s="94" t="s">
        <v>167</v>
      </c>
      <c r="C30" s="95"/>
      <c r="D30" s="96"/>
      <c r="E30" s="12">
        <f>SUM(E27:E29)*(1+'Fane 15. Nøgletal'!C12)^5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hLFgAqfPuf7P5E1dis2gMg+H/dF84wERuqPSj11TWnMIGs4CmS4rhKTLEEGXEjZKVNLRGQ7l37MJpwlO2jsHVw==" saltValue="7j9ghgABm+ZArOXAt+JQzw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223</v>
      </c>
      <c r="C3" s="84"/>
      <c r="D3" s="84"/>
      <c r="E3" s="84"/>
      <c r="F3" s="84"/>
      <c r="G3" s="1"/>
    </row>
    <row r="4" spans="1:7" ht="25.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32</v>
      </c>
      <c r="C8" s="95"/>
      <c r="D8" s="95"/>
      <c r="E8" s="95"/>
      <c r="F8" s="96"/>
      <c r="G8" s="1"/>
    </row>
    <row r="9" spans="1:7" ht="15" customHeight="1" x14ac:dyDescent="0.25">
      <c r="A9" s="1"/>
      <c r="B9" s="38" t="s">
        <v>33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72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u0GzKU1P1RlHN1OkvZPdW7XQ/3hCEcRRJVVV9IYoW67leXnvo3SQot9HZBB417eH1X2vtB8ZK7s/YzWI3Sq9PQ==" saltValue="lEP5Kc9TQKbDIs0kP4VVsQ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222</v>
      </c>
      <c r="C3" s="84"/>
      <c r="D3" s="84"/>
      <c r="E3" s="84"/>
      <c r="F3" s="84"/>
      <c r="G3" s="1"/>
    </row>
    <row r="4" spans="1:7" ht="25.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169</v>
      </c>
      <c r="C8" s="95"/>
      <c r="D8" s="95"/>
      <c r="E8" s="95"/>
      <c r="F8" s="96"/>
      <c r="G8" s="1"/>
    </row>
    <row r="9" spans="1:7" ht="15" customHeight="1" x14ac:dyDescent="0.25">
      <c r="A9" s="1"/>
      <c r="B9" s="38" t="s">
        <v>26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61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0" t="s">
        <v>71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4" t="s">
        <v>170</v>
      </c>
      <c r="C14" s="95"/>
      <c r="D14" s="95"/>
      <c r="E14" s="95"/>
      <c r="F14" s="96"/>
      <c r="G14" s="1"/>
    </row>
    <row r="15" spans="1:7" ht="26.25" x14ac:dyDescent="0.25">
      <c r="A15" s="1"/>
      <c r="B15" s="38" t="s">
        <v>26</v>
      </c>
      <c r="C15" s="38" t="s">
        <v>16</v>
      </c>
      <c r="D15" s="39"/>
      <c r="E15" s="38" t="s">
        <v>48</v>
      </c>
      <c r="F15" s="39"/>
      <c r="G15" s="1"/>
    </row>
    <row r="16" spans="1:7" x14ac:dyDescent="0.25">
      <c r="A16" s="1"/>
      <c r="B16" s="27" t="s">
        <v>257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40" t="s">
        <v>61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40" t="s">
        <v>152</v>
      </c>
      <c r="C18" s="12">
        <f>C17*(1+'Fane 15. Nøgletal'!C12)^2</f>
        <v>0</v>
      </c>
      <c r="D18" s="13" t="s">
        <v>3</v>
      </c>
      <c r="E18" s="12">
        <f>E17*(1+'Fane 15. Nøgletal'!C12)^2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4" t="s">
        <v>168</v>
      </c>
      <c r="C20" s="95"/>
      <c r="D20" s="95"/>
      <c r="E20" s="95"/>
      <c r="F20" s="96"/>
      <c r="G20" s="1"/>
    </row>
    <row r="21" spans="1:7" ht="26.25" x14ac:dyDescent="0.25">
      <c r="A21" s="1"/>
      <c r="B21" s="38" t="s">
        <v>26</v>
      </c>
      <c r="C21" s="38" t="s">
        <v>16</v>
      </c>
      <c r="D21" s="39"/>
      <c r="E21" s="38" t="s">
        <v>48</v>
      </c>
      <c r="F21" s="39"/>
      <c r="G21" s="1"/>
    </row>
    <row r="22" spans="1:7" x14ac:dyDescent="0.25">
      <c r="A22" s="1"/>
      <c r="B22" s="27" t="s">
        <v>257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40" t="s">
        <v>61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40" t="s">
        <v>153</v>
      </c>
      <c r="C24" s="12">
        <f>C23*(1+'Fane 15. Nøgletal'!C12)^3</f>
        <v>0</v>
      </c>
      <c r="D24" s="13" t="s">
        <v>3</v>
      </c>
      <c r="E24" s="12">
        <f>E23*(1+'Fane 15. Nøgletal'!C12)^3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4" t="s">
        <v>171</v>
      </c>
      <c r="C26" s="95"/>
      <c r="D26" s="95"/>
      <c r="E26" s="95"/>
      <c r="F26" s="96"/>
      <c r="G26" s="1"/>
    </row>
    <row r="27" spans="1:7" ht="26.25" x14ac:dyDescent="0.25">
      <c r="A27" s="1"/>
      <c r="B27" s="38" t="s">
        <v>26</v>
      </c>
      <c r="C27" s="38" t="s">
        <v>16</v>
      </c>
      <c r="D27" s="39"/>
      <c r="E27" s="38" t="s">
        <v>48</v>
      </c>
      <c r="F27" s="39"/>
      <c r="G27" s="1"/>
    </row>
    <row r="28" spans="1:7" x14ac:dyDescent="0.25">
      <c r="A28" s="1"/>
      <c r="B28" s="27" t="s">
        <v>257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40" t="s">
        <v>61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40" t="s">
        <v>154</v>
      </c>
      <c r="C30" s="12">
        <f>C29*(1+'Fane 15. Nøgletal'!C12)^4</f>
        <v>0</v>
      </c>
      <c r="D30" s="13" t="s">
        <v>3</v>
      </c>
      <c r="E30" s="12">
        <f>E29*(1+'Fane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ls+1r6o4EGaitWEC3VT+pklIhHWTePlHlayIiXL7lAL8AgvKJvjzJK2kYl3NmkF0EitvbjneNAw9bBd+KHzkZA==" saltValue="j7q9x5i1t+pbRWaBhSKko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9" t="s">
        <v>221</v>
      </c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18</v>
      </c>
      <c r="C8" s="95"/>
      <c r="D8" s="95"/>
      <c r="E8" s="95"/>
      <c r="F8" s="95"/>
      <c r="G8" s="95"/>
      <c r="H8" s="96"/>
      <c r="I8" s="1"/>
    </row>
    <row r="9" spans="1:9" x14ac:dyDescent="0.25">
      <c r="A9" s="1"/>
      <c r="B9" s="97" t="s">
        <v>12</v>
      </c>
      <c r="C9" s="98"/>
      <c r="D9" s="98"/>
      <c r="E9" s="98"/>
      <c r="F9" s="99"/>
      <c r="G9" s="9">
        <v>7471170</v>
      </c>
      <c r="H9" s="14" t="s">
        <v>3</v>
      </c>
      <c r="I9" s="1"/>
    </row>
    <row r="10" spans="1:9" x14ac:dyDescent="0.25">
      <c r="A10" s="1"/>
      <c r="B10" s="97" t="s">
        <v>137</v>
      </c>
      <c r="C10" s="98"/>
      <c r="D10" s="98"/>
      <c r="E10" s="98"/>
      <c r="F10" s="99"/>
      <c r="G10" s="9">
        <v>0</v>
      </c>
      <c r="H10" s="14" t="s">
        <v>3</v>
      </c>
      <c r="I10" s="1"/>
    </row>
    <row r="11" spans="1:9" x14ac:dyDescent="0.25">
      <c r="A11" s="1"/>
      <c r="B11" s="97" t="s">
        <v>77</v>
      </c>
      <c r="C11" s="98"/>
      <c r="D11" s="98"/>
      <c r="E11" s="98"/>
      <c r="F11" s="99"/>
      <c r="G11" s="9">
        <v>-7471170.111111111</v>
      </c>
      <c r="H11" s="14" t="s">
        <v>3</v>
      </c>
      <c r="I11" s="1"/>
    </row>
    <row r="12" spans="1:9" x14ac:dyDescent="0.25">
      <c r="A12" s="1"/>
      <c r="B12" s="114" t="s">
        <v>15</v>
      </c>
      <c r="C12" s="115"/>
      <c r="D12" s="115"/>
      <c r="E12" s="115"/>
      <c r="F12" s="116"/>
      <c r="G12" s="19">
        <f>(G9+G10)+G11</f>
        <v>-0.11111111100763083</v>
      </c>
      <c r="H12" s="18" t="s">
        <v>3</v>
      </c>
      <c r="I12" s="1"/>
    </row>
    <row r="13" spans="1:9" x14ac:dyDescent="0.25">
      <c r="A13" s="1"/>
      <c r="B13" s="97" t="s">
        <v>13</v>
      </c>
      <c r="C13" s="98"/>
      <c r="D13" s="98"/>
      <c r="E13" s="98"/>
      <c r="F13" s="99"/>
      <c r="G13" s="9">
        <v>0</v>
      </c>
      <c r="H13" s="14" t="s">
        <v>28</v>
      </c>
      <c r="I13" s="1"/>
    </row>
    <row r="14" spans="1:9" x14ac:dyDescent="0.25">
      <c r="A14" s="1"/>
      <c r="B14" s="94" t="s">
        <v>138</v>
      </c>
      <c r="C14" s="95"/>
      <c r="D14" s="95"/>
      <c r="E14" s="95"/>
      <c r="F14" s="96"/>
      <c r="G14" s="12">
        <f>IF(G13 = 0,0,-G12/G13)</f>
        <v>0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Y1EnL9EFCsZHzKtlACPtNmYcHIrCZy6aE8ckHZy2Ax6WrNWiVUzDCUUOJfTHIS4yi4gxm+Ye/eK2LbQBoVHaNw==" saltValue="30iLu9KlD+7/83tB/mTAug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62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x14ac:dyDescent="0.25">
      <c r="A9" s="1"/>
      <c r="B9" s="35" t="s">
        <v>35</v>
      </c>
      <c r="C9" s="7">
        <f>'Fane 3. Omkostninger i ØR2019'!E20</f>
        <v>65943965.514745511</v>
      </c>
      <c r="D9" s="8" t="s">
        <v>3</v>
      </c>
      <c r="E9" s="1"/>
    </row>
    <row r="10" spans="1:5" ht="17.100000000000001" customHeight="1" x14ac:dyDescent="0.25">
      <c r="A10" s="1"/>
      <c r="B10" s="52" t="s">
        <v>64</v>
      </c>
      <c r="C10" s="7">
        <f>'Fane 10.1. Varige tillæg'!C14</f>
        <v>15209.845200000002</v>
      </c>
      <c r="D10" s="8" t="s">
        <v>3</v>
      </c>
      <c r="E10" s="1"/>
    </row>
    <row r="11" spans="1:5" ht="17.100000000000001" customHeight="1" x14ac:dyDescent="0.25">
      <c r="A11" s="1"/>
      <c r="B11" s="52" t="s">
        <v>65</v>
      </c>
      <c r="C11" s="9">
        <f>'Fane 10.1. Varige tillæg'!E14</f>
        <v>290752.29325064999</v>
      </c>
      <c r="D11" s="8" t="s">
        <v>3</v>
      </c>
      <c r="E11" s="1"/>
    </row>
    <row r="12" spans="1:5" ht="17.100000000000001" customHeight="1" x14ac:dyDescent="0.25">
      <c r="A12" s="1"/>
      <c r="B12" s="52" t="s">
        <v>42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52" t="s">
        <v>41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52" t="s">
        <v>44</v>
      </c>
      <c r="C14" s="9">
        <f>'Fane 12.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52" t="s">
        <v>43</v>
      </c>
      <c r="C15" s="9">
        <f>'Fane 12.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52" t="s">
        <v>27</v>
      </c>
      <c r="C16" s="9">
        <f>SUM(C9:C15)*'Fane 15. Nøgletal'!C12</f>
        <v>1305123.5747679644</v>
      </c>
      <c r="D16" s="8" t="s">
        <v>3</v>
      </c>
      <c r="E16" s="1"/>
    </row>
    <row r="17" spans="1:5" ht="17.100000000000001" customHeight="1" x14ac:dyDescent="0.25">
      <c r="A17" s="1"/>
      <c r="B17" s="52" t="s">
        <v>10</v>
      </c>
      <c r="C17" s="9">
        <f>-SUM(C9:C16)*'Fane 5. Individuelt eff. krav'!G11</f>
        <v>-202188.20247482156</v>
      </c>
      <c r="D17" s="8" t="s">
        <v>3</v>
      </c>
      <c r="E17" s="1"/>
    </row>
    <row r="18" spans="1:5" ht="17.100000000000001" customHeight="1" x14ac:dyDescent="0.25">
      <c r="A18" s="1"/>
      <c r="B18" s="52" t="s">
        <v>39</v>
      </c>
      <c r="C18" s="9">
        <f>-'Fane 4.1. Gen. krav - drift'!G28</f>
        <v>-304685.99625339027</v>
      </c>
      <c r="D18" s="8" t="s">
        <v>3</v>
      </c>
      <c r="E18" s="1"/>
    </row>
    <row r="19" spans="1:5" ht="17.100000000000001" customHeight="1" x14ac:dyDescent="0.25">
      <c r="A19" s="1"/>
      <c r="B19" s="52" t="s">
        <v>40</v>
      </c>
      <c r="C19" s="9">
        <f>-'Fane 4.2. Gen. krav - anlæg'!G25</f>
        <v>-1489260.7951619492</v>
      </c>
      <c r="D19" s="8" t="s">
        <v>3</v>
      </c>
      <c r="E19" s="1"/>
    </row>
    <row r="20" spans="1:5" ht="17.100000000000001" customHeight="1" x14ac:dyDescent="0.25">
      <c r="A20" s="1"/>
      <c r="B20" s="46" t="s">
        <v>29</v>
      </c>
      <c r="C20" s="10">
        <f>SUM(C9:C19)</f>
        <v>65558916.234073974</v>
      </c>
      <c r="D20" s="11" t="s">
        <v>3</v>
      </c>
      <c r="E20" s="1"/>
    </row>
    <row r="21" spans="1:5" ht="15" customHeight="1" x14ac:dyDescent="0.25">
      <c r="A21" s="1"/>
      <c r="B21" s="40" t="s">
        <v>17</v>
      </c>
      <c r="C21" s="34"/>
      <c r="D21" s="22"/>
      <c r="E21" s="1"/>
    </row>
    <row r="22" spans="1:5" ht="15" customHeight="1" x14ac:dyDescent="0.25">
      <c r="A22" s="1"/>
      <c r="B22" s="38" t="s">
        <v>17</v>
      </c>
      <c r="C22" s="10">
        <f>'Fane 6. Ikke-påvirkelige omk.'!C15+'Fane 6. Ikke-påvirkelige omk.'!C19+'Fane 6. Ikke-påvirkelige omk.'!C27</f>
        <v>768332.69291988004</v>
      </c>
      <c r="D22" s="11" t="s">
        <v>3</v>
      </c>
      <c r="E22" s="1"/>
    </row>
    <row r="23" spans="1:5" ht="15" customHeight="1" x14ac:dyDescent="0.25">
      <c r="A23" s="1"/>
      <c r="B23" s="40" t="s">
        <v>145</v>
      </c>
      <c r="C23" s="34"/>
      <c r="D23" s="22"/>
      <c r="E23" s="1"/>
    </row>
    <row r="24" spans="1:5" ht="15" customHeight="1" x14ac:dyDescent="0.25">
      <c r="A24" s="1"/>
      <c r="B24" s="46" t="s">
        <v>145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40" t="s">
        <v>144</v>
      </c>
      <c r="C25" s="34"/>
      <c r="D25" s="22"/>
      <c r="E25" s="1"/>
    </row>
    <row r="26" spans="1:5" ht="15" customHeight="1" x14ac:dyDescent="0.25">
      <c r="A26" s="1"/>
      <c r="B26" s="52" t="s">
        <v>140</v>
      </c>
      <c r="C26" s="9">
        <f>'Fane 10.2. Engangstillæg'!C14</f>
        <v>1515313.4758662658</v>
      </c>
      <c r="D26" s="8" t="s">
        <v>3</v>
      </c>
      <c r="E26" s="1"/>
    </row>
    <row r="27" spans="1:5" ht="15" customHeight="1" x14ac:dyDescent="0.25">
      <c r="A27" s="1"/>
      <c r="B27" s="52" t="s">
        <v>141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46" t="s">
        <v>147</v>
      </c>
      <c r="C28" s="10">
        <f>SUM(C26:C27)</f>
        <v>1515313.4758662658</v>
      </c>
      <c r="D28" s="11" t="s">
        <v>3</v>
      </c>
      <c r="E28" s="1"/>
    </row>
    <row r="29" spans="1:5" x14ac:dyDescent="0.25">
      <c r="A29" s="1"/>
      <c r="B29" s="40" t="s">
        <v>11</v>
      </c>
      <c r="C29" s="34"/>
      <c r="D29" s="22"/>
      <c r="E29" s="1"/>
    </row>
    <row r="30" spans="1:5" ht="15" customHeight="1" x14ac:dyDescent="0.25">
      <c r="A30" s="1"/>
      <c r="B30" s="38" t="s">
        <v>19</v>
      </c>
      <c r="C30" s="10">
        <f>'Fane 14. Hist. over-underdæk.'!G14</f>
        <v>0</v>
      </c>
      <c r="D30" s="11" t="s">
        <v>3</v>
      </c>
      <c r="E30" s="1"/>
    </row>
    <row r="31" spans="1:5" x14ac:dyDescent="0.25">
      <c r="A31" s="1"/>
      <c r="B31" s="40" t="s">
        <v>174</v>
      </c>
      <c r="C31" s="34"/>
      <c r="D31" s="22"/>
      <c r="E31" s="1"/>
    </row>
    <row r="32" spans="1:5" x14ac:dyDescent="0.25">
      <c r="A32" s="1"/>
      <c r="B32" s="38" t="s">
        <v>209</v>
      </c>
      <c r="C32" s="10">
        <f>'Fane 7. Kontrol af ØR2018'!E28</f>
        <v>-484748.41055352241</v>
      </c>
      <c r="D32" s="11" t="s">
        <v>3</v>
      </c>
      <c r="E32" s="1"/>
    </row>
    <row r="33" spans="1:5" ht="15" customHeight="1" x14ac:dyDescent="0.25">
      <c r="A33" s="1"/>
      <c r="B33" s="40" t="s">
        <v>249</v>
      </c>
      <c r="C33" s="34"/>
      <c r="D33" s="22"/>
      <c r="E33" s="1"/>
    </row>
    <row r="34" spans="1:5" x14ac:dyDescent="0.25">
      <c r="A34" s="1"/>
      <c r="B34" s="38" t="s">
        <v>250</v>
      </c>
      <c r="C34" s="10">
        <f>'Fane 8. Korrektioner'!E20</f>
        <v>0</v>
      </c>
      <c r="D34" s="11" t="s">
        <v>3</v>
      </c>
      <c r="E34" s="1"/>
    </row>
    <row r="35" spans="1:5" x14ac:dyDescent="0.25">
      <c r="A35" s="1"/>
      <c r="B35" s="40" t="s">
        <v>36</v>
      </c>
      <c r="C35" s="36">
        <f>SUM(C34,C32,C30,C28,C24,C22,C20)</f>
        <v>67357813.99230659</v>
      </c>
      <c r="D35" s="37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8jF23S1dGY0l/Aah6sH79Ab4CmGj7eW1YUb2LMIG9nlen5TeM4blbdax8YBDelQDH7g90VqgHj0WZn3jhfh1cg==" saltValue="zYXcZvtpcQPuuXM6CrSkS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0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4" t="s">
        <v>248</v>
      </c>
      <c r="C3" s="84"/>
      <c r="D3" s="1"/>
    </row>
    <row r="4" spans="1:4" ht="25.5" customHeight="1" x14ac:dyDescent="0.25">
      <c r="A4" s="1"/>
      <c r="B4" s="84"/>
      <c r="C4" s="84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0" t="s">
        <v>21</v>
      </c>
      <c r="C8" s="22"/>
      <c r="D8" s="1"/>
    </row>
    <row r="9" spans="1:4" x14ac:dyDescent="0.25">
      <c r="A9" s="1"/>
      <c r="B9" s="53" t="s">
        <v>228</v>
      </c>
      <c r="C9" s="28">
        <v>1.2699999999999999E-2</v>
      </c>
      <c r="D9" s="1"/>
    </row>
    <row r="10" spans="1:4" x14ac:dyDescent="0.25">
      <c r="A10" s="1"/>
      <c r="B10" s="53" t="s">
        <v>229</v>
      </c>
      <c r="C10" s="28">
        <v>1.7500000000000002E-2</v>
      </c>
      <c r="D10" s="1"/>
    </row>
    <row r="11" spans="1:4" x14ac:dyDescent="0.25">
      <c r="A11" s="1"/>
      <c r="B11" s="53" t="s">
        <v>31</v>
      </c>
      <c r="C11" s="28">
        <v>1.6899999999999998E-2</v>
      </c>
      <c r="D11" s="1"/>
    </row>
    <row r="12" spans="1:4" x14ac:dyDescent="0.25">
      <c r="A12" s="1"/>
      <c r="B12" s="41" t="s">
        <v>230</v>
      </c>
      <c r="C12" s="42">
        <v>1.9699999999999999E-2</v>
      </c>
      <c r="D12" s="1"/>
    </row>
    <row r="13" spans="1:4" x14ac:dyDescent="0.25">
      <c r="A13" s="1"/>
      <c r="B13" s="40"/>
      <c r="C13" s="22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0" t="s">
        <v>205</v>
      </c>
      <c r="C16" s="22"/>
      <c r="D16" s="1"/>
    </row>
    <row r="17" spans="1:4" x14ac:dyDescent="0.25">
      <c r="A17" s="1"/>
      <c r="B17" s="53" t="s">
        <v>231</v>
      </c>
      <c r="C17" s="25">
        <v>9.1000000000000004E-3</v>
      </c>
      <c r="D17" s="1"/>
    </row>
    <row r="18" spans="1:4" x14ac:dyDescent="0.25">
      <c r="A18" s="1"/>
      <c r="B18" s="53" t="s">
        <v>232</v>
      </c>
      <c r="C18" s="25">
        <v>1.77E-2</v>
      </c>
      <c r="D18" s="1"/>
    </row>
    <row r="19" spans="1:4" x14ac:dyDescent="0.25">
      <c r="A19" s="1"/>
      <c r="B19" s="53" t="s">
        <v>233</v>
      </c>
      <c r="C19" s="25">
        <v>8.6999999999999994E-3</v>
      </c>
      <c r="D19" s="1"/>
    </row>
    <row r="20" spans="1:4" x14ac:dyDescent="0.25">
      <c r="A20" s="1"/>
      <c r="B20" s="53" t="s">
        <v>234</v>
      </c>
      <c r="C20" s="43">
        <v>2.8400000000000002E-2</v>
      </c>
      <c r="D20" s="1"/>
    </row>
    <row r="21" spans="1:4" x14ac:dyDescent="0.25">
      <c r="A21" s="1"/>
      <c r="B21" s="40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0" t="s">
        <v>206</v>
      </c>
      <c r="C24" s="22"/>
      <c r="D24" s="1"/>
    </row>
    <row r="25" spans="1:4" x14ac:dyDescent="0.25">
      <c r="A25" s="1"/>
      <c r="B25" s="53" t="s">
        <v>235</v>
      </c>
      <c r="C25" s="28">
        <v>0.02</v>
      </c>
      <c r="D25" s="1"/>
    </row>
    <row r="26" spans="1:4" x14ac:dyDescent="0.25">
      <c r="A26" s="1"/>
      <c r="B26" s="40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m4+mp9X1Hj2trWr3U9uOU4qk0oK9j8GBydnv8nk4+Lmfjx9I5tULx13byACa/ju7XKFOThuE4QyBov2KU2bD0Q==" saltValue="iBXoyR9jzYxihec7s0LeKQ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82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2.1. Økonomisk ramme 2020'!C20</f>
        <v>65558916.234073974</v>
      </c>
      <c r="D9" s="8" t="s">
        <v>3</v>
      </c>
      <c r="E9" s="1"/>
    </row>
    <row r="10" spans="1:5" ht="15" customHeight="1" x14ac:dyDescent="0.25">
      <c r="A10" s="1"/>
      <c r="B10" s="52" t="s">
        <v>42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52" t="s">
        <v>41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1291510.6498112571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-200079.30422132812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drift'!G34</f>
        <v>-304474.54417199048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anlæg'!G31</f>
        <v>-1475471.0146143632</v>
      </c>
      <c r="D15" s="8" t="s">
        <v>3</v>
      </c>
      <c r="E15" s="1"/>
    </row>
    <row r="16" spans="1:5" ht="15" customHeight="1" x14ac:dyDescent="0.25">
      <c r="A16" s="1"/>
      <c r="B16" s="33" t="s">
        <v>29</v>
      </c>
      <c r="C16" s="10">
        <f>SUM(C9:C15)</f>
        <v>64870402.020877555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omk.'!C15*(1+'Fane 15. Nøgletal'!C12)+'Fane 6. Ikke-påvirkelige omk.'!C20+'Fane 6. Ikke-påvirkelige omk.'!C28</f>
        <v>783468.8469704017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6" t="s">
        <v>146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2" t="s">
        <v>140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52" t="s">
        <v>141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6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174</v>
      </c>
      <c r="C25" s="34"/>
      <c r="D25" s="22"/>
      <c r="E25" s="1"/>
    </row>
    <row r="26" spans="1:5" ht="15" customHeight="1" x14ac:dyDescent="0.25">
      <c r="A26" s="1"/>
      <c r="B26" s="38" t="s">
        <v>209</v>
      </c>
      <c r="C26" s="10">
        <f>'Fane 2.1. Økonomisk ramme 2020'!C32</f>
        <v>-484748.41055352241</v>
      </c>
      <c r="D26" s="11" t="s">
        <v>3</v>
      </c>
      <c r="E26" s="1"/>
    </row>
    <row r="27" spans="1:5" x14ac:dyDescent="0.25">
      <c r="A27" s="1"/>
      <c r="B27" s="40" t="s">
        <v>45</v>
      </c>
      <c r="C27" s="12">
        <f>SUM(C16,C18,C20,C24,C26)</f>
        <v>65169122.457294434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vo38C2ZWCSgol11zfGmwLZwHo8IvHcOJHoAEJWOaNe5RQGtomLrGqNnDYcTeMEDfZZhb+qRRDf/bEzetEIEZ5A==" saltValue="PM/uKkpo+R1uHIPVUZ+I9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246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80" t="s">
        <v>30</v>
      </c>
      <c r="C5" s="80"/>
      <c r="D5" s="80"/>
      <c r="E5" s="1"/>
    </row>
    <row r="6" spans="1:5" x14ac:dyDescent="0.25">
      <c r="A6" s="1"/>
      <c r="B6" s="45"/>
      <c r="C6" s="45"/>
      <c r="D6" s="45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38</v>
      </c>
      <c r="C9" s="7">
        <f>'Fane 2.2. Økonomisk ramme 2021'!C16</f>
        <v>64870402.020877555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1277946.9198112877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-197978.02719241902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drift'!G40</f>
        <v>-304263.23883833509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anlæg'!G37</f>
        <v>-1461808.9202639619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64184298.754394121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omk.'!C15*(1+'Fane 15. Nøgletal'!C12)^2+'Fane 6. Ikke-påvirkelige omk.'!C21+'Fane 6. Ikke-påvirkelige omk.'!C29</f>
        <v>798903.18325571867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6" t="s">
        <v>146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2" t="s">
        <v>140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52" t="s">
        <v>141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46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46</v>
      </c>
      <c r="C25" s="12">
        <f>SUM(C16,C18,C20,C24)</f>
        <v>64983201.937649839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Y9IFoQpbGp3I54OpxVfeLXprqOkNnxlLxBIpY5wiRc4WA90JYh5YtlNduBsS1f3NFb7jdQoAShzHrU6p3GNjTw==" saltValue="USoEbabMKkSHBFdWwtMv4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247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80" t="s">
        <v>30</v>
      </c>
      <c r="C5" s="80"/>
      <c r="D5" s="80"/>
      <c r="E5" s="1"/>
    </row>
    <row r="6" spans="1:5" x14ac:dyDescent="0.25">
      <c r="A6" s="1"/>
      <c r="B6" s="45"/>
      <c r="C6" s="45"/>
      <c r="D6" s="45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282</v>
      </c>
      <c r="C9" s="7">
        <f>'Fane 2.3. Økonomisk ramme 2022'!C16</f>
        <v>64184298.754394121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C9*'Fane 15. Nøgletal'!C12</f>
        <v>1264430.6854615642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-195884.10813353994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drift'!G46</f>
        <v>-304052.08015058131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anlæg'!G43</f>
        <v>-1448273.3298029562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63500519.921768613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omk.'!C15*(1+'Fane 15. Nøgletal'!C12)^3+'Fane 6. Ikke-påvirkelige omk.'!C22+'Fane 6. Ikke-påvirkelige omk.'!C30</f>
        <v>814641.57596585632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6" t="s">
        <v>146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2" t="s">
        <v>140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52" t="s">
        <v>141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46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158</v>
      </c>
      <c r="C25" s="12">
        <f>SUM(C16,C18,C20,C24)</f>
        <v>64315161.497734472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7lT9Gqw23oYuFR0rgpE/ukfE0muyMIK/sFtt5LhJutwxNbn2PAeOPcYcs6eQs8fK3t0nLfjD9AdBPFENilWDtw==" saltValue="sLDUL4bXWnmzkyYFE0xgK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243</v>
      </c>
      <c r="C3" s="84"/>
      <c r="D3" s="84"/>
      <c r="E3" s="84"/>
      <c r="F3" s="84"/>
      <c r="G3" s="1"/>
    </row>
    <row r="4" spans="1:7" ht="29.2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81</v>
      </c>
      <c r="C8" s="34"/>
      <c r="D8" s="34"/>
      <c r="E8" s="34"/>
      <c r="F8" s="22"/>
      <c r="G8" s="1"/>
    </row>
    <row r="9" spans="1:7" ht="15" customHeight="1" x14ac:dyDescent="0.25">
      <c r="A9" s="1"/>
      <c r="B9" s="81" t="s">
        <v>79</v>
      </c>
      <c r="C9" s="82"/>
      <c r="D9" s="83"/>
      <c r="E9" s="7">
        <v>65216749.318457715</v>
      </c>
      <c r="F9" s="8" t="s">
        <v>3</v>
      </c>
      <c r="G9" s="1"/>
    </row>
    <row r="10" spans="1:7" ht="15" customHeight="1" x14ac:dyDescent="0.25">
      <c r="A10" s="1"/>
      <c r="B10" s="85" t="s">
        <v>64</v>
      </c>
      <c r="C10" s="86"/>
      <c r="D10" s="87"/>
      <c r="E10" s="7">
        <v>115773.04810000025</v>
      </c>
      <c r="F10" s="8" t="s">
        <v>3</v>
      </c>
      <c r="G10" s="1"/>
    </row>
    <row r="11" spans="1:7" ht="15" customHeight="1" x14ac:dyDescent="0.25">
      <c r="A11" s="1"/>
      <c r="B11" s="85" t="s">
        <v>65</v>
      </c>
      <c r="C11" s="86"/>
      <c r="D11" s="87"/>
      <c r="E11" s="9">
        <v>747245.57629999996</v>
      </c>
      <c r="F11" s="8" t="s">
        <v>3</v>
      </c>
      <c r="G11" s="1"/>
    </row>
    <row r="12" spans="1:7" ht="15" customHeight="1" x14ac:dyDescent="0.25">
      <c r="A12" s="1"/>
      <c r="B12" s="85" t="s">
        <v>42</v>
      </c>
      <c r="C12" s="86"/>
      <c r="D12" s="87"/>
      <c r="E12" s="9">
        <v>0</v>
      </c>
      <c r="F12" s="8" t="s">
        <v>3</v>
      </c>
      <c r="G12" s="1"/>
    </row>
    <row r="13" spans="1:7" ht="15" customHeight="1" x14ac:dyDescent="0.25">
      <c r="A13" s="1"/>
      <c r="B13" s="81" t="s">
        <v>41</v>
      </c>
      <c r="C13" s="82"/>
      <c r="D13" s="83"/>
      <c r="E13" s="9">
        <v>0</v>
      </c>
      <c r="F13" s="8" t="s">
        <v>3</v>
      </c>
      <c r="G13" s="1"/>
    </row>
    <row r="14" spans="1:7" ht="15" customHeight="1" x14ac:dyDescent="0.25">
      <c r="A14" s="1"/>
      <c r="B14" s="81" t="s">
        <v>44</v>
      </c>
      <c r="C14" s="82"/>
      <c r="D14" s="83"/>
      <c r="E14" s="9">
        <v>0</v>
      </c>
      <c r="F14" s="8" t="s">
        <v>3</v>
      </c>
      <c r="G14" s="1"/>
    </row>
    <row r="15" spans="1:7" ht="15" customHeight="1" x14ac:dyDescent="0.25">
      <c r="A15" s="1"/>
      <c r="B15" s="81" t="s">
        <v>43</v>
      </c>
      <c r="C15" s="82"/>
      <c r="D15" s="83"/>
      <c r="E15" s="9">
        <v>0</v>
      </c>
      <c r="F15" s="8" t="s">
        <v>3</v>
      </c>
      <c r="G15" s="1"/>
    </row>
    <row r="16" spans="1:7" ht="15" customHeight="1" x14ac:dyDescent="0.25">
      <c r="A16" s="1"/>
      <c r="B16" s="81" t="s">
        <v>27</v>
      </c>
      <c r="C16" s="82"/>
      <c r="D16" s="83"/>
      <c r="E16" s="9">
        <f>E9*'Fane 15. Nøgletal'!C10+SUM(E10:E15)*'Fane 15. Nøgletal'!C11</f>
        <v>1155878.1278253703</v>
      </c>
      <c r="F16" s="8" t="s">
        <v>3</v>
      </c>
      <c r="G16" s="1"/>
    </row>
    <row r="17" spans="1:7" ht="15" customHeight="1" x14ac:dyDescent="0.25">
      <c r="A17" s="1"/>
      <c r="B17" s="81" t="s">
        <v>10</v>
      </c>
      <c r="C17" s="82"/>
      <c r="D17" s="83"/>
      <c r="E17" s="9">
        <f>-SUM(E9:E16)*'Fane 5. Individuelt eff. krav'!G10</f>
        <v>-72658.6119653598</v>
      </c>
      <c r="F17" s="8" t="s">
        <v>3</v>
      </c>
      <c r="G17" s="1"/>
    </row>
    <row r="18" spans="1:7" ht="15" customHeight="1" x14ac:dyDescent="0.25">
      <c r="A18" s="1"/>
      <c r="B18" s="81" t="s">
        <v>39</v>
      </c>
      <c r="C18" s="82"/>
      <c r="D18" s="83"/>
      <c r="E18" s="9">
        <f>-'Fane 4.1. Gen. krav - drift'!G22</f>
        <v>-304587.19018036663</v>
      </c>
      <c r="F18" s="8" t="s">
        <v>3</v>
      </c>
      <c r="G18" s="1"/>
    </row>
    <row r="19" spans="1:7" ht="15" customHeight="1" x14ac:dyDescent="0.25">
      <c r="A19" s="1"/>
      <c r="B19" s="81" t="s">
        <v>40</v>
      </c>
      <c r="C19" s="82"/>
      <c r="D19" s="83"/>
      <c r="E19" s="9">
        <f>-'Fane 4.2. Gen. krav - anlæg'!G19</f>
        <v>-914434.75379185216</v>
      </c>
      <c r="F19" s="8" t="s">
        <v>3</v>
      </c>
      <c r="G19" s="1"/>
    </row>
    <row r="20" spans="1:7" ht="15" customHeight="1" x14ac:dyDescent="0.25">
      <c r="A20" s="1"/>
      <c r="B20" s="46" t="s">
        <v>29</v>
      </c>
      <c r="C20" s="47"/>
      <c r="D20" s="48"/>
      <c r="E20" s="10">
        <f>SUM(E9:E19)</f>
        <v>65943965.514745511</v>
      </c>
      <c r="F20" s="11" t="s">
        <v>3</v>
      </c>
      <c r="G20" s="1"/>
    </row>
    <row r="21" spans="1:7" ht="15" customHeight="1" x14ac:dyDescent="0.25">
      <c r="A21" s="1"/>
      <c r="B21" s="94" t="s">
        <v>145</v>
      </c>
      <c r="C21" s="95"/>
      <c r="D21" s="95"/>
      <c r="E21" s="95"/>
      <c r="F21" s="96"/>
      <c r="G21" s="1"/>
    </row>
    <row r="22" spans="1:7" ht="15" customHeight="1" x14ac:dyDescent="0.25">
      <c r="A22" s="1"/>
      <c r="B22" s="81" t="s">
        <v>239</v>
      </c>
      <c r="C22" s="82"/>
      <c r="D22" s="83"/>
      <c r="E22" s="44">
        <v>0</v>
      </c>
      <c r="F22" s="8" t="s">
        <v>3</v>
      </c>
      <c r="G22" s="1"/>
    </row>
    <row r="23" spans="1:7" ht="15" customHeight="1" x14ac:dyDescent="0.25">
      <c r="A23" s="1"/>
      <c r="B23" s="81" t="s">
        <v>238</v>
      </c>
      <c r="C23" s="82"/>
      <c r="D23" s="83"/>
      <c r="E23" s="44">
        <f>-E22*('Fane 15. Nøgletal'!C25+'Fane 5. Individuelt eff. krav'!G10)</f>
        <v>0</v>
      </c>
      <c r="F23" s="8" t="s">
        <v>3</v>
      </c>
      <c r="G23" s="1"/>
    </row>
    <row r="24" spans="1:7" ht="15" customHeight="1" x14ac:dyDescent="0.25">
      <c r="A24" s="1"/>
      <c r="B24" s="88" t="s">
        <v>240</v>
      </c>
      <c r="C24" s="89"/>
      <c r="D24" s="90"/>
      <c r="E24" s="10">
        <f>SUM(E22:E23)</f>
        <v>0</v>
      </c>
      <c r="F24" s="11" t="s">
        <v>3</v>
      </c>
      <c r="G24" s="1"/>
    </row>
    <row r="25" spans="1:7" x14ac:dyDescent="0.25">
      <c r="A25" s="1"/>
      <c r="B25" s="40" t="s">
        <v>17</v>
      </c>
      <c r="C25" s="34"/>
      <c r="D25" s="34"/>
      <c r="E25" s="34"/>
      <c r="F25" s="22"/>
      <c r="G25" s="1"/>
    </row>
    <row r="26" spans="1:7" ht="15" customHeight="1" x14ac:dyDescent="0.25">
      <c r="A26" s="1"/>
      <c r="B26" s="88" t="s">
        <v>17</v>
      </c>
      <c r="C26" s="89"/>
      <c r="D26" s="90"/>
      <c r="E26" s="10">
        <v>791280.24060077977</v>
      </c>
      <c r="F26" s="11" t="s">
        <v>3</v>
      </c>
      <c r="G26" s="1"/>
    </row>
    <row r="27" spans="1:7" ht="15" customHeight="1" x14ac:dyDescent="0.25">
      <c r="A27" s="1"/>
      <c r="B27" s="40" t="s">
        <v>144</v>
      </c>
      <c r="C27" s="34"/>
      <c r="D27" s="34"/>
      <c r="E27" s="34"/>
      <c r="F27" s="22"/>
      <c r="G27" s="1"/>
    </row>
    <row r="28" spans="1:7" ht="15" customHeight="1" x14ac:dyDescent="0.25">
      <c r="A28" s="1"/>
      <c r="B28" s="81" t="s">
        <v>140</v>
      </c>
      <c r="C28" s="82"/>
      <c r="D28" s="83"/>
      <c r="E28" s="44">
        <v>1765949.3596213995</v>
      </c>
      <c r="F28" s="8" t="s">
        <v>281</v>
      </c>
      <c r="G28" s="1"/>
    </row>
    <row r="29" spans="1:7" ht="15" customHeight="1" x14ac:dyDescent="0.25">
      <c r="A29" s="1"/>
      <c r="B29" s="81" t="s">
        <v>141</v>
      </c>
      <c r="C29" s="82"/>
      <c r="D29" s="83"/>
      <c r="E29" s="44">
        <v>0</v>
      </c>
      <c r="F29" s="8" t="s">
        <v>281</v>
      </c>
      <c r="G29" s="1"/>
    </row>
    <row r="30" spans="1:7" ht="15" customHeight="1" x14ac:dyDescent="0.25">
      <c r="A30" s="1"/>
      <c r="B30" s="81" t="s">
        <v>280</v>
      </c>
      <c r="C30" s="82"/>
      <c r="D30" s="83"/>
      <c r="E30" s="44">
        <f>-(E28*'Fane 5. Individuelt eff. krav'!G10+E28*'Fane 15. Nøgletal'!C25)</f>
        <v>-37227.371163875468</v>
      </c>
      <c r="F30" s="8" t="s">
        <v>281</v>
      </c>
      <c r="G30" s="1"/>
    </row>
    <row r="31" spans="1:7" ht="15" customHeight="1" x14ac:dyDescent="0.25">
      <c r="A31" s="1"/>
      <c r="B31" s="46" t="s">
        <v>147</v>
      </c>
      <c r="C31" s="47"/>
      <c r="D31" s="47"/>
      <c r="E31" s="10">
        <f>SUM(E28:E30)</f>
        <v>1728721.988457524</v>
      </c>
      <c r="F31" s="39" t="s">
        <v>3</v>
      </c>
      <c r="G31" s="1"/>
    </row>
    <row r="32" spans="1:7" x14ac:dyDescent="0.25">
      <c r="A32" s="1"/>
      <c r="B32" s="40" t="s">
        <v>80</v>
      </c>
      <c r="C32" s="34"/>
      <c r="D32" s="34"/>
      <c r="E32" s="34"/>
      <c r="F32" s="22"/>
      <c r="G32" s="1"/>
    </row>
    <row r="33" spans="1:7" ht="27" customHeight="1" x14ac:dyDescent="0.25">
      <c r="A33" s="1"/>
      <c r="B33" s="91" t="s">
        <v>134</v>
      </c>
      <c r="C33" s="92"/>
      <c r="D33" s="93"/>
      <c r="E33" s="10">
        <v>5459.3937591341864</v>
      </c>
      <c r="F33" s="11" t="s">
        <v>3</v>
      </c>
      <c r="G33" s="1"/>
    </row>
    <row r="34" spans="1:7" x14ac:dyDescent="0.25">
      <c r="A34" s="1"/>
      <c r="B34" s="40" t="s">
        <v>11</v>
      </c>
      <c r="C34" s="34"/>
      <c r="D34" s="34"/>
      <c r="E34" s="34"/>
      <c r="F34" s="22"/>
      <c r="G34" s="1"/>
    </row>
    <row r="35" spans="1:7" ht="15" customHeight="1" x14ac:dyDescent="0.25">
      <c r="A35" s="1"/>
      <c r="B35" s="91" t="s">
        <v>19</v>
      </c>
      <c r="C35" s="92"/>
      <c r="D35" s="93"/>
      <c r="E35" s="10">
        <v>0</v>
      </c>
      <c r="F35" s="11" t="s">
        <v>3</v>
      </c>
      <c r="G35" s="1"/>
    </row>
    <row r="36" spans="1:7" x14ac:dyDescent="0.25">
      <c r="A36" s="1"/>
      <c r="B36" s="94" t="s">
        <v>24</v>
      </c>
      <c r="C36" s="95"/>
      <c r="D36" s="96"/>
      <c r="E36" s="12">
        <f>SUM(E35,E31,E33,E26,E20,E24)</f>
        <v>68469427.137562945</v>
      </c>
      <c r="F36" s="13" t="s">
        <v>3</v>
      </c>
      <c r="G36" s="1"/>
    </row>
    <row r="37" spans="1:7" ht="27" customHeight="1" x14ac:dyDescent="0.25">
      <c r="A37" s="1"/>
      <c r="B37" s="81" t="s">
        <v>208</v>
      </c>
      <c r="C37" s="82"/>
      <c r="D37" s="82"/>
      <c r="E37" s="82"/>
      <c r="F37" s="83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algorithmName="SHA-512" hashValue="efpnBKI7Itx086XBBS61xbnJy0BrP3BWQTiI7qiYi2IKF7/h7rZzekSUzdPEcgh/LwTfPooX9IO2LBF440kzNA==" saltValue="QZzcMzBbipigODZDXyKzWQ==" spinCount="100000" sheet="1" objects="1" scenarios="1"/>
  <mergeCells count="24">
    <mergeCell ref="B22:D22"/>
    <mergeCell ref="B23:D23"/>
    <mergeCell ref="B21:F21"/>
    <mergeCell ref="B24:D24"/>
    <mergeCell ref="B35:D35"/>
    <mergeCell ref="B28:D28"/>
    <mergeCell ref="B29:D29"/>
    <mergeCell ref="B30:D30"/>
    <mergeCell ref="B37:F37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33:D33"/>
    <mergeCell ref="B36:D3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9" t="s">
        <v>218</v>
      </c>
      <c r="C2" s="79"/>
      <c r="D2" s="79"/>
      <c r="E2" s="79"/>
      <c r="F2" s="79"/>
      <c r="G2" s="79"/>
      <c r="H2" s="79"/>
      <c r="I2" s="1"/>
    </row>
    <row r="3" spans="1:9" ht="15" customHeight="1" x14ac:dyDescent="0.25">
      <c r="A3" s="1"/>
      <c r="B3" s="79"/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94" t="s">
        <v>94</v>
      </c>
      <c r="C5" s="95"/>
      <c r="D5" s="95"/>
      <c r="E5" s="95"/>
      <c r="F5" s="95"/>
      <c r="G5" s="95"/>
      <c r="H5" s="96"/>
      <c r="I5" s="1"/>
    </row>
    <row r="6" spans="1:9" x14ac:dyDescent="0.25">
      <c r="A6" s="1"/>
      <c r="B6" s="97" t="s">
        <v>83</v>
      </c>
      <c r="C6" s="98"/>
      <c r="D6" s="98"/>
      <c r="E6" s="98"/>
      <c r="F6" s="99"/>
      <c r="G6" s="26">
        <v>15039675.0832849</v>
      </c>
      <c r="H6" s="14" t="s">
        <v>3</v>
      </c>
      <c r="I6" s="1"/>
    </row>
    <row r="7" spans="1:9" x14ac:dyDescent="0.25">
      <c r="A7" s="1"/>
      <c r="B7" s="81" t="s">
        <v>242</v>
      </c>
      <c r="C7" s="82"/>
      <c r="D7" s="82"/>
      <c r="E7" s="82"/>
      <c r="F7" s="83"/>
      <c r="G7" s="26">
        <v>0</v>
      </c>
      <c r="H7" s="14" t="s">
        <v>3</v>
      </c>
      <c r="I7" s="1"/>
    </row>
    <row r="8" spans="1:9" x14ac:dyDescent="0.25">
      <c r="A8" s="1"/>
      <c r="B8" s="97" t="s">
        <v>84</v>
      </c>
      <c r="C8" s="98"/>
      <c r="D8" s="98"/>
      <c r="E8" s="98"/>
      <c r="F8" s="99"/>
      <c r="G8" s="26">
        <f>SUM(G6:G7)*'Fane 15. Nøgletal'!C25</f>
        <v>300793.50166569802</v>
      </c>
      <c r="H8" s="14" t="s">
        <v>3</v>
      </c>
      <c r="I8" s="1"/>
    </row>
    <row r="9" spans="1:9" x14ac:dyDescent="0.25">
      <c r="A9" s="1"/>
      <c r="B9" s="40"/>
      <c r="C9" s="34"/>
      <c r="D9" s="34"/>
      <c r="E9" s="34"/>
      <c r="F9" s="34"/>
      <c r="G9" s="34"/>
      <c r="H9" s="22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94" t="s">
        <v>95</v>
      </c>
      <c r="C11" s="95"/>
      <c r="D11" s="95"/>
      <c r="E11" s="95"/>
      <c r="F11" s="95"/>
      <c r="G11" s="95"/>
      <c r="H11" s="96"/>
      <c r="I11" s="1"/>
    </row>
    <row r="12" spans="1:9" x14ac:dyDescent="0.25">
      <c r="A12" s="1"/>
      <c r="B12" s="97" t="s">
        <v>85</v>
      </c>
      <c r="C12" s="98"/>
      <c r="D12" s="98"/>
      <c r="E12" s="98"/>
      <c r="F12" s="99"/>
      <c r="G12" s="26">
        <f>(G6-G8)*(1+'Fane 15. Nøgletal'!C10)</f>
        <v>14996812.009297539</v>
      </c>
      <c r="H12" s="14" t="s">
        <v>3</v>
      </c>
      <c r="I12" s="1"/>
    </row>
    <row r="13" spans="1:9" x14ac:dyDescent="0.25">
      <c r="A13" s="1"/>
      <c r="B13" s="97" t="s">
        <v>244</v>
      </c>
      <c r="C13" s="98"/>
      <c r="D13" s="98"/>
      <c r="E13" s="98"/>
      <c r="F13" s="99"/>
      <c r="G13" s="26">
        <v>75094.205963921384</v>
      </c>
      <c r="H13" s="14" t="s">
        <v>3</v>
      </c>
      <c r="I13" s="1"/>
    </row>
    <row r="14" spans="1:9" ht="15" customHeight="1" x14ac:dyDescent="0.25">
      <c r="A14" s="1"/>
      <c r="B14" s="81" t="s">
        <v>237</v>
      </c>
      <c r="C14" s="82"/>
      <c r="D14" s="82"/>
      <c r="E14" s="82"/>
      <c r="F14" s="83"/>
      <c r="G14" s="26">
        <v>1266686.3147125</v>
      </c>
      <c r="H14" s="14" t="s">
        <v>3</v>
      </c>
      <c r="I14" s="1"/>
    </row>
    <row r="15" spans="1:9" x14ac:dyDescent="0.25">
      <c r="A15" s="1"/>
      <c r="B15" s="100" t="s">
        <v>86</v>
      </c>
      <c r="C15" s="101"/>
      <c r="D15" s="101"/>
      <c r="E15" s="101"/>
      <c r="F15" s="102"/>
      <c r="G15" s="26">
        <v>108765.66250000001</v>
      </c>
      <c r="H15" s="14" t="s">
        <v>3</v>
      </c>
      <c r="I15" s="1"/>
    </row>
    <row r="16" spans="1:9" x14ac:dyDescent="0.25">
      <c r="A16" s="1"/>
      <c r="B16" s="97" t="s">
        <v>87</v>
      </c>
      <c r="C16" s="98"/>
      <c r="D16" s="98"/>
      <c r="E16" s="98"/>
      <c r="F16" s="99"/>
      <c r="G16" s="26">
        <f>SUM(G12:G15)*'Fane 15. Nøgletal'!C25</f>
        <v>328947.16384947917</v>
      </c>
      <c r="H16" s="14" t="s">
        <v>3</v>
      </c>
      <c r="I16" s="1"/>
    </row>
    <row r="17" spans="1:9" x14ac:dyDescent="0.25">
      <c r="A17" s="1"/>
      <c r="B17" s="40"/>
      <c r="C17" s="34"/>
      <c r="D17" s="34"/>
      <c r="E17" s="34"/>
      <c r="F17" s="34"/>
      <c r="G17" s="34"/>
      <c r="H17" s="22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94" t="s">
        <v>96</v>
      </c>
      <c r="C19" s="95"/>
      <c r="D19" s="95"/>
      <c r="E19" s="95"/>
      <c r="F19" s="95"/>
      <c r="G19" s="95"/>
      <c r="H19" s="96"/>
      <c r="I19" s="1"/>
    </row>
    <row r="20" spans="1:9" x14ac:dyDescent="0.25">
      <c r="A20" s="1"/>
      <c r="B20" s="97" t="s">
        <v>88</v>
      </c>
      <c r="C20" s="98"/>
      <c r="D20" s="98"/>
      <c r="E20" s="98"/>
      <c r="F20" s="99"/>
      <c r="G20" s="26">
        <f>(SUM(G12:G13,G15)-(G16))*(1+'Fane 15. Nøgletal'!C10)</f>
        <v>15111629.896405442</v>
      </c>
      <c r="H20" s="14" t="s">
        <v>3</v>
      </c>
      <c r="I20" s="1"/>
    </row>
    <row r="21" spans="1:9" x14ac:dyDescent="0.25">
      <c r="A21" s="1"/>
      <c r="B21" s="100" t="s">
        <v>89</v>
      </c>
      <c r="C21" s="101"/>
      <c r="D21" s="101"/>
      <c r="E21" s="101"/>
      <c r="F21" s="102"/>
      <c r="G21" s="26">
        <f>1883678.97223429-1707740*1.0169^2</f>
        <v>117729.61261289055</v>
      </c>
      <c r="H21" s="14" t="s">
        <v>3</v>
      </c>
      <c r="I21" s="1"/>
    </row>
    <row r="22" spans="1:9" x14ac:dyDescent="0.25">
      <c r="A22" s="1"/>
      <c r="B22" s="97" t="s">
        <v>90</v>
      </c>
      <c r="C22" s="98"/>
      <c r="D22" s="98"/>
      <c r="E22" s="98"/>
      <c r="F22" s="99"/>
      <c r="G22" s="26">
        <f>SUM(G20:G21)*'Fane 15. Nøgletal'!C25</f>
        <v>304587.19018036663</v>
      </c>
      <c r="H22" s="14" t="s">
        <v>3</v>
      </c>
      <c r="I22" s="1"/>
    </row>
    <row r="23" spans="1:9" x14ac:dyDescent="0.25">
      <c r="A23" s="1"/>
      <c r="B23" s="40"/>
      <c r="C23" s="34"/>
      <c r="D23" s="34"/>
      <c r="E23" s="34"/>
      <c r="F23" s="34"/>
      <c r="G23" s="34"/>
      <c r="H23" s="22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94" t="s">
        <v>97</v>
      </c>
      <c r="C25" s="95"/>
      <c r="D25" s="95"/>
      <c r="E25" s="95"/>
      <c r="F25" s="95"/>
      <c r="G25" s="95"/>
      <c r="H25" s="96"/>
      <c r="I25" s="1"/>
    </row>
    <row r="26" spans="1:9" x14ac:dyDescent="0.25">
      <c r="A26" s="1"/>
      <c r="B26" s="97" t="s">
        <v>91</v>
      </c>
      <c r="C26" s="98"/>
      <c r="D26" s="98"/>
      <c r="E26" s="98"/>
      <c r="F26" s="99"/>
      <c r="G26" s="26">
        <f>(G20+G21-G22)*(1+'Fane 15. Nøgletal'!C12)</f>
        <v>15218790.333519073</v>
      </c>
      <c r="H26" s="14" t="s">
        <v>3</v>
      </c>
      <c r="I26" s="1"/>
    </row>
    <row r="27" spans="1:9" x14ac:dyDescent="0.25">
      <c r="A27" s="1"/>
      <c r="B27" s="100" t="s">
        <v>92</v>
      </c>
      <c r="C27" s="101"/>
      <c r="D27" s="101"/>
      <c r="E27" s="101"/>
      <c r="F27" s="102"/>
      <c r="G27" s="26">
        <f>('Fane 2.1. Økonomisk ramme 2020'!C10+'Fane 2.1. Økonomisk ramme 2020'!C12+'Fane 2.1. Økonomisk ramme 2020'!C14)*(1+'Fane 15. Nøgletal'!C12)</f>
        <v>15509.479150440002</v>
      </c>
      <c r="H27" s="14" t="s">
        <v>3</v>
      </c>
      <c r="I27" s="1"/>
    </row>
    <row r="28" spans="1:9" x14ac:dyDescent="0.25">
      <c r="A28" s="1"/>
      <c r="B28" s="97" t="s">
        <v>93</v>
      </c>
      <c r="C28" s="98"/>
      <c r="D28" s="98"/>
      <c r="E28" s="98"/>
      <c r="F28" s="99"/>
      <c r="G28" s="26">
        <f>(G26+G27)*'Fane 15. Nøgletal'!C25</f>
        <v>304685.99625339027</v>
      </c>
      <c r="H28" s="14" t="s">
        <v>3</v>
      </c>
      <c r="I28" s="1"/>
    </row>
    <row r="29" spans="1:9" x14ac:dyDescent="0.25">
      <c r="A29" s="1"/>
      <c r="B29" s="40"/>
      <c r="C29" s="34"/>
      <c r="D29" s="34"/>
      <c r="E29" s="34"/>
      <c r="F29" s="34"/>
      <c r="G29" s="34"/>
      <c r="H29" s="22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94" t="s">
        <v>100</v>
      </c>
      <c r="C31" s="95"/>
      <c r="D31" s="95"/>
      <c r="E31" s="95"/>
      <c r="F31" s="95"/>
      <c r="G31" s="95"/>
      <c r="H31" s="96"/>
      <c r="I31" s="1"/>
    </row>
    <row r="32" spans="1:9" x14ac:dyDescent="0.25">
      <c r="A32" s="1"/>
      <c r="B32" s="97" t="s">
        <v>101</v>
      </c>
      <c r="C32" s="98"/>
      <c r="D32" s="98"/>
      <c r="E32" s="98"/>
      <c r="F32" s="99"/>
      <c r="G32" s="26">
        <f>(G26+G27-G28)*(1+'Fane 15. Nøgletal'!C12)</f>
        <v>15223727.208599523</v>
      </c>
      <c r="H32" s="14" t="s">
        <v>3</v>
      </c>
      <c r="I32" s="1"/>
    </row>
    <row r="33" spans="1:9" x14ac:dyDescent="0.25">
      <c r="A33" s="1"/>
      <c r="B33" s="97" t="s">
        <v>149</v>
      </c>
      <c r="C33" s="98"/>
      <c r="D33" s="98"/>
      <c r="E33" s="98"/>
      <c r="F33" s="99"/>
      <c r="G33" s="26">
        <f>-'Fane 13. Bortfald'!C18*(1+'Fane 15. Nøgletal'!C12)</f>
        <v>0</v>
      </c>
      <c r="H33" s="14" t="s">
        <v>3</v>
      </c>
      <c r="I33" s="1"/>
    </row>
    <row r="34" spans="1:9" x14ac:dyDescent="0.25">
      <c r="A34" s="1"/>
      <c r="B34" s="97" t="s">
        <v>102</v>
      </c>
      <c r="C34" s="98"/>
      <c r="D34" s="98"/>
      <c r="E34" s="98"/>
      <c r="F34" s="99"/>
      <c r="G34" s="26">
        <f>(G32+G33)*'Fane 15. Nøgletal'!C25</f>
        <v>304474.54417199048</v>
      </c>
      <c r="H34" s="14" t="s">
        <v>3</v>
      </c>
      <c r="I34" s="1"/>
    </row>
    <row r="35" spans="1:9" x14ac:dyDescent="0.25">
      <c r="A35" s="1"/>
      <c r="B35" s="40"/>
      <c r="C35" s="34"/>
      <c r="D35" s="34"/>
      <c r="E35" s="34"/>
      <c r="F35" s="34"/>
      <c r="G35" s="34"/>
      <c r="H35" s="22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94" t="s">
        <v>127</v>
      </c>
      <c r="C37" s="95"/>
      <c r="D37" s="95"/>
      <c r="E37" s="95"/>
      <c r="F37" s="95"/>
      <c r="G37" s="95"/>
      <c r="H37" s="96"/>
      <c r="I37" s="1"/>
    </row>
    <row r="38" spans="1:9" x14ac:dyDescent="0.25">
      <c r="A38" s="1"/>
      <c r="B38" s="97" t="s">
        <v>126</v>
      </c>
      <c r="C38" s="98"/>
      <c r="D38" s="98"/>
      <c r="E38" s="98"/>
      <c r="F38" s="99"/>
      <c r="G38" s="26">
        <f>(G32-G34)*(1+'Fane 15. Nøgletal'!C12)</f>
        <v>15213161.941916754</v>
      </c>
      <c r="H38" s="14" t="s">
        <v>3</v>
      </c>
      <c r="I38" s="1"/>
    </row>
    <row r="39" spans="1:9" x14ac:dyDescent="0.25">
      <c r="A39" s="1"/>
      <c r="B39" s="97" t="s">
        <v>150</v>
      </c>
      <c r="C39" s="98"/>
      <c r="D39" s="98"/>
      <c r="E39" s="98"/>
      <c r="F39" s="99"/>
      <c r="G39" s="26">
        <f>-'Fane 13. Bortfald'!C24*(1+'Fane 15. Nøgletal'!C12)</f>
        <v>0</v>
      </c>
      <c r="H39" s="14" t="s">
        <v>3</v>
      </c>
      <c r="I39" s="1"/>
    </row>
    <row r="40" spans="1:9" x14ac:dyDescent="0.25">
      <c r="A40" s="1"/>
      <c r="B40" s="97" t="s">
        <v>103</v>
      </c>
      <c r="C40" s="98"/>
      <c r="D40" s="98"/>
      <c r="E40" s="98"/>
      <c r="F40" s="99"/>
      <c r="G40" s="26">
        <f>(G38+G39)*'Fane 15. Nøgletal'!C25</f>
        <v>304263.23883833509</v>
      </c>
      <c r="H40" s="14" t="s">
        <v>3</v>
      </c>
      <c r="I40" s="1"/>
    </row>
    <row r="41" spans="1:9" x14ac:dyDescent="0.25">
      <c r="A41" s="1"/>
      <c r="B41" s="40"/>
      <c r="C41" s="34"/>
      <c r="D41" s="34"/>
      <c r="E41" s="34"/>
      <c r="F41" s="34"/>
      <c r="G41" s="34"/>
      <c r="H41" s="22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94" t="s">
        <v>128</v>
      </c>
      <c r="C43" s="95"/>
      <c r="D43" s="95"/>
      <c r="E43" s="95"/>
      <c r="F43" s="95"/>
      <c r="G43" s="95"/>
      <c r="H43" s="96"/>
      <c r="I43" s="1"/>
    </row>
    <row r="44" spans="1:9" x14ac:dyDescent="0.25">
      <c r="A44" s="1"/>
      <c r="B44" s="97" t="s">
        <v>125</v>
      </c>
      <c r="C44" s="98"/>
      <c r="D44" s="98"/>
      <c r="E44" s="98"/>
      <c r="F44" s="99"/>
      <c r="G44" s="26">
        <f>(G38-G40)*(1+'Fane 15. Nøgletal'!C12)</f>
        <v>15202604.007529065</v>
      </c>
      <c r="H44" s="14" t="s">
        <v>3</v>
      </c>
      <c r="I44" s="1"/>
    </row>
    <row r="45" spans="1:9" x14ac:dyDescent="0.25">
      <c r="A45" s="1"/>
      <c r="B45" s="97" t="s">
        <v>151</v>
      </c>
      <c r="C45" s="98"/>
      <c r="D45" s="98"/>
      <c r="E45" s="98"/>
      <c r="F45" s="99"/>
      <c r="G45" s="26">
        <f>-'Fane 13. Bortfald'!C30*(1+'Fane 15. Nøgletal'!C12)</f>
        <v>0</v>
      </c>
      <c r="H45" s="14" t="s">
        <v>3</v>
      </c>
      <c r="I45" s="1"/>
    </row>
    <row r="46" spans="1:9" x14ac:dyDescent="0.25">
      <c r="A46" s="1"/>
      <c r="B46" s="97" t="s">
        <v>104</v>
      </c>
      <c r="C46" s="98"/>
      <c r="D46" s="98"/>
      <c r="E46" s="98"/>
      <c r="F46" s="99"/>
      <c r="G46" s="26">
        <f>(G44+G45)*'Fane 15. Nøgletal'!C25</f>
        <v>304052.08015058131</v>
      </c>
      <c r="H46" s="14" t="s">
        <v>3</v>
      </c>
      <c r="I46" s="1"/>
    </row>
    <row r="47" spans="1:9" x14ac:dyDescent="0.25">
      <c r="A47" s="1"/>
      <c r="B47" s="40"/>
      <c r="C47" s="34"/>
      <c r="D47" s="34"/>
      <c r="E47" s="34"/>
      <c r="F47" s="34"/>
      <c r="G47" s="34"/>
      <c r="H47" s="22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XZygeGywVGLDDDMDPM0Mci35HdldRNV+jER1gAH7GEaGmkdVnbTGGLIzpi9YSRvw35ZwAFQVSdGre7k3owoFnQ==" saltValue="ExQD/XgIb1rx/OJc0sB+EA==" spinCount="100000" sheet="1" objects="1" scenarios="1"/>
  <mergeCells count="31"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33:F33"/>
    <mergeCell ref="B34:F34"/>
    <mergeCell ref="B25:H25"/>
    <mergeCell ref="B43:H43"/>
    <mergeCell ref="B44:F44"/>
    <mergeCell ref="B46:F46"/>
    <mergeCell ref="B39:F39"/>
    <mergeCell ref="B45:F45"/>
    <mergeCell ref="B40:F40"/>
    <mergeCell ref="B2:H4"/>
    <mergeCell ref="B5:H5"/>
    <mergeCell ref="B6:F6"/>
    <mergeCell ref="B8:F8"/>
    <mergeCell ref="B12:F12"/>
    <mergeCell ref="B11:H11"/>
    <mergeCell ref="B7:F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3" t="s">
        <v>219</v>
      </c>
      <c r="C2" s="103"/>
      <c r="D2" s="103"/>
      <c r="E2" s="103"/>
      <c r="F2" s="103"/>
      <c r="G2" s="103"/>
      <c r="H2" s="103"/>
      <c r="I2" s="1"/>
    </row>
    <row r="3" spans="1:9" ht="18.75" x14ac:dyDescent="0.3">
      <c r="A3" s="1"/>
      <c r="B3" s="54"/>
      <c r="C3" s="54"/>
      <c r="D3" s="54"/>
      <c r="E3" s="54"/>
      <c r="F3" s="54"/>
      <c r="G3" s="54"/>
      <c r="H3" s="54"/>
      <c r="I3" s="1"/>
    </row>
    <row r="4" spans="1:9" x14ac:dyDescent="0.25">
      <c r="A4" s="1"/>
      <c r="B4" s="94" t="s">
        <v>98</v>
      </c>
      <c r="C4" s="95"/>
      <c r="D4" s="95"/>
      <c r="E4" s="95"/>
      <c r="F4" s="95"/>
      <c r="G4" s="95"/>
      <c r="H4" s="96"/>
      <c r="I4" s="1"/>
    </row>
    <row r="5" spans="1:9" x14ac:dyDescent="0.25">
      <c r="A5" s="1"/>
      <c r="B5" s="97" t="s">
        <v>105</v>
      </c>
      <c r="C5" s="98"/>
      <c r="D5" s="98"/>
      <c r="E5" s="98"/>
      <c r="F5" s="99"/>
      <c r="G5" s="26">
        <v>51122047.933218576</v>
      </c>
      <c r="H5" s="14" t="s">
        <v>3</v>
      </c>
      <c r="I5" s="1"/>
    </row>
    <row r="6" spans="1:9" x14ac:dyDescent="0.25">
      <c r="A6" s="1"/>
      <c r="B6" s="97" t="s">
        <v>99</v>
      </c>
      <c r="C6" s="98"/>
      <c r="D6" s="98"/>
      <c r="E6" s="98"/>
      <c r="F6" s="99"/>
      <c r="G6" s="26">
        <f>G5*'Fane 15. Nøgletal'!C17</f>
        <v>465210.63619228906</v>
      </c>
      <c r="H6" s="14" t="s">
        <v>3</v>
      </c>
      <c r="I6" s="1"/>
    </row>
    <row r="7" spans="1:9" x14ac:dyDescent="0.25">
      <c r="A7" s="1"/>
      <c r="B7" s="40"/>
      <c r="C7" s="34"/>
      <c r="D7" s="34"/>
      <c r="E7" s="34"/>
      <c r="F7" s="34"/>
      <c r="G7" s="34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4" t="s">
        <v>106</v>
      </c>
      <c r="C9" s="95"/>
      <c r="D9" s="95"/>
      <c r="E9" s="95"/>
      <c r="F9" s="95"/>
      <c r="G9" s="95"/>
      <c r="H9" s="96"/>
      <c r="I9" s="1"/>
    </row>
    <row r="10" spans="1:9" x14ac:dyDescent="0.25">
      <c r="A10" s="1"/>
      <c r="B10" s="97" t="s">
        <v>107</v>
      </c>
      <c r="C10" s="98"/>
      <c r="D10" s="98"/>
      <c r="E10" s="98"/>
      <c r="F10" s="99"/>
      <c r="G10" s="26">
        <f>(G5-G6)*(1+'Fane 15. Nøgletal'!C10)</f>
        <v>51543331.94972425</v>
      </c>
      <c r="H10" s="14" t="s">
        <v>3</v>
      </c>
      <c r="I10" s="1"/>
    </row>
    <row r="11" spans="1:9" x14ac:dyDescent="0.25">
      <c r="A11" s="1"/>
      <c r="B11" s="97" t="s">
        <v>245</v>
      </c>
      <c r="C11" s="98"/>
      <c r="D11" s="98"/>
      <c r="E11" s="98"/>
      <c r="F11" s="99"/>
      <c r="G11" s="26">
        <v>-227690.76428767131</v>
      </c>
      <c r="H11" s="14" t="s">
        <v>3</v>
      </c>
      <c r="I11" s="1"/>
    </row>
    <row r="12" spans="1:9" x14ac:dyDescent="0.25">
      <c r="A12" s="1"/>
      <c r="B12" s="100" t="s">
        <v>108</v>
      </c>
      <c r="C12" s="101"/>
      <c r="D12" s="101"/>
      <c r="E12" s="101"/>
      <c r="F12" s="102"/>
      <c r="G12" s="26">
        <v>0</v>
      </c>
      <c r="H12" s="14" t="s">
        <v>3</v>
      </c>
      <c r="I12" s="1"/>
    </row>
    <row r="13" spans="1:9" x14ac:dyDescent="0.25">
      <c r="A13" s="1"/>
      <c r="B13" s="97" t="s">
        <v>109</v>
      </c>
      <c r="C13" s="98"/>
      <c r="D13" s="98"/>
      <c r="E13" s="98"/>
      <c r="F13" s="99"/>
      <c r="G13" s="26">
        <f>SUM(G10:G12)*'Fane 15. Nøgletal'!C18</f>
        <v>908286.84898222738</v>
      </c>
      <c r="H13" s="14" t="s">
        <v>3</v>
      </c>
      <c r="I13" s="1"/>
    </row>
    <row r="14" spans="1:9" x14ac:dyDescent="0.25">
      <c r="A14" s="1"/>
      <c r="B14" s="40"/>
      <c r="C14" s="34"/>
      <c r="D14" s="34"/>
      <c r="E14" s="34"/>
      <c r="F14" s="34"/>
      <c r="G14" s="34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4" t="s">
        <v>110</v>
      </c>
      <c r="C16" s="95"/>
      <c r="D16" s="95"/>
      <c r="E16" s="95"/>
      <c r="F16" s="95"/>
      <c r="G16" s="95"/>
      <c r="H16" s="96"/>
      <c r="I16" s="1"/>
    </row>
    <row r="17" spans="1:9" x14ac:dyDescent="0.25">
      <c r="A17" s="1"/>
      <c r="B17" s="97" t="s">
        <v>111</v>
      </c>
      <c r="C17" s="98"/>
      <c r="D17" s="98"/>
      <c r="E17" s="98"/>
      <c r="F17" s="99"/>
      <c r="G17" s="26">
        <f>(SUM(G10:G12)-G13)*(1+'Fane 15. Nøgletal'!C10)</f>
        <v>51289483.037342303</v>
      </c>
      <c r="H17" s="14" t="s">
        <v>3</v>
      </c>
      <c r="I17" s="1"/>
    </row>
    <row r="18" spans="1:9" x14ac:dyDescent="0.25">
      <c r="A18" s="1"/>
      <c r="B18" s="100" t="s">
        <v>112</v>
      </c>
      <c r="C18" s="101"/>
      <c r="D18" s="101"/>
      <c r="E18" s="101"/>
      <c r="F18" s="102"/>
      <c r="G18" s="26">
        <v>759874.02653946984</v>
      </c>
      <c r="H18" s="14" t="s">
        <v>3</v>
      </c>
      <c r="I18" s="1"/>
    </row>
    <row r="19" spans="1:9" x14ac:dyDescent="0.25">
      <c r="A19" s="1"/>
      <c r="B19" s="97" t="s">
        <v>113</v>
      </c>
      <c r="C19" s="98"/>
      <c r="D19" s="98"/>
      <c r="E19" s="98"/>
      <c r="F19" s="99"/>
      <c r="G19" s="26">
        <f>G17*'Fane 15. Nøgletal'!C18+G18*'Fane 15. Nøgletal'!C19</f>
        <v>914434.75379185216</v>
      </c>
      <c r="H19" s="14" t="s">
        <v>3</v>
      </c>
      <c r="I19" s="1"/>
    </row>
    <row r="20" spans="1:9" x14ac:dyDescent="0.25">
      <c r="A20" s="1"/>
      <c r="B20" s="40"/>
      <c r="C20" s="34"/>
      <c r="D20" s="34"/>
      <c r="E20" s="34"/>
      <c r="F20" s="34"/>
      <c r="G20" s="34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4" t="s">
        <v>114</v>
      </c>
      <c r="C22" s="95"/>
      <c r="D22" s="95"/>
      <c r="E22" s="95"/>
      <c r="F22" s="95"/>
      <c r="G22" s="95"/>
      <c r="H22" s="96"/>
      <c r="I22" s="1"/>
    </row>
    <row r="23" spans="1:9" x14ac:dyDescent="0.25">
      <c r="A23" s="1"/>
      <c r="B23" s="97" t="s">
        <v>115</v>
      </c>
      <c r="C23" s="98"/>
      <c r="D23" s="98"/>
      <c r="E23" s="98"/>
      <c r="F23" s="99"/>
      <c r="G23" s="26">
        <f>(G17+G18-G19)*(1+'Fane 15. Nøgletal'!C12)</f>
        <v>52142280.279598691</v>
      </c>
      <c r="H23" s="14" t="s">
        <v>3</v>
      </c>
      <c r="I23" s="1"/>
    </row>
    <row r="24" spans="1:9" x14ac:dyDescent="0.25">
      <c r="A24" s="1"/>
      <c r="B24" s="100" t="s">
        <v>116</v>
      </c>
      <c r="C24" s="101"/>
      <c r="D24" s="101"/>
      <c r="E24" s="101"/>
      <c r="F24" s="102"/>
      <c r="G24" s="26">
        <f>('Fane 2.1. Økonomisk ramme 2020'!C11+'Fane 2.1. Økonomisk ramme 2020'!C13+'Fane 2.1. Økonomisk ramme 2020'!C15)*(1+'Fane 15. Nøgletal'!C12)</f>
        <v>296480.11342768779</v>
      </c>
      <c r="H24" s="14" t="s">
        <v>3</v>
      </c>
      <c r="I24" s="1"/>
    </row>
    <row r="25" spans="1:9" x14ac:dyDescent="0.25">
      <c r="A25" s="1"/>
      <c r="B25" s="97" t="s">
        <v>117</v>
      </c>
      <c r="C25" s="98"/>
      <c r="D25" s="98"/>
      <c r="E25" s="98"/>
      <c r="F25" s="99"/>
      <c r="G25" s="26">
        <f>(G23+G24)*'Fane 15. Nøgletal'!C20</f>
        <v>1489260.7951619492</v>
      </c>
      <c r="H25" s="14" t="s">
        <v>3</v>
      </c>
      <c r="I25" s="1"/>
    </row>
    <row r="26" spans="1:9" x14ac:dyDescent="0.25">
      <c r="A26" s="1"/>
      <c r="B26" s="40"/>
      <c r="C26" s="34"/>
      <c r="D26" s="34"/>
      <c r="E26" s="34"/>
      <c r="F26" s="34"/>
      <c r="G26" s="34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4" t="s">
        <v>118</v>
      </c>
      <c r="C28" s="95"/>
      <c r="D28" s="95"/>
      <c r="E28" s="95"/>
      <c r="F28" s="95"/>
      <c r="G28" s="95"/>
      <c r="H28" s="96"/>
      <c r="I28" s="1"/>
    </row>
    <row r="29" spans="1:9" x14ac:dyDescent="0.25">
      <c r="A29" s="1"/>
      <c r="B29" s="97" t="s">
        <v>119</v>
      </c>
      <c r="C29" s="98"/>
      <c r="D29" s="98"/>
      <c r="E29" s="98"/>
      <c r="F29" s="99"/>
      <c r="G29" s="26">
        <f>(G23+G24-G25)*(1+'Fane 15. Nøgletal'!C12)</f>
        <v>51953204.739942364</v>
      </c>
      <c r="H29" s="14" t="s">
        <v>3</v>
      </c>
      <c r="I29" s="1"/>
    </row>
    <row r="30" spans="1:9" x14ac:dyDescent="0.25">
      <c r="A30" s="1"/>
      <c r="B30" s="97" t="s">
        <v>155</v>
      </c>
      <c r="C30" s="98"/>
      <c r="D30" s="98"/>
      <c r="E30" s="98"/>
      <c r="F30" s="99"/>
      <c r="G30" s="26">
        <f>-'Fane 13. Bortfald'!E18*(1+'Fane 15. Nøgletal'!C12)</f>
        <v>0</v>
      </c>
      <c r="H30" s="14" t="s">
        <v>3</v>
      </c>
      <c r="I30" s="1"/>
    </row>
    <row r="31" spans="1:9" x14ac:dyDescent="0.25">
      <c r="A31" s="1"/>
      <c r="B31" s="97" t="s">
        <v>120</v>
      </c>
      <c r="C31" s="98"/>
      <c r="D31" s="98"/>
      <c r="E31" s="98"/>
      <c r="F31" s="99"/>
      <c r="G31" s="26">
        <f>(G29+G30)*'Fane 15. Nøgletal'!C20</f>
        <v>1475471.0146143632</v>
      </c>
      <c r="H31" s="14" t="s">
        <v>3</v>
      </c>
      <c r="I31" s="1"/>
    </row>
    <row r="32" spans="1:9" x14ac:dyDescent="0.25">
      <c r="A32" s="1"/>
      <c r="B32" s="40"/>
      <c r="C32" s="34"/>
      <c r="D32" s="34"/>
      <c r="E32" s="34"/>
      <c r="F32" s="34"/>
      <c r="G32" s="34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4" t="s">
        <v>129</v>
      </c>
      <c r="C34" s="95"/>
      <c r="D34" s="95"/>
      <c r="E34" s="95"/>
      <c r="F34" s="95"/>
      <c r="G34" s="95"/>
      <c r="H34" s="96"/>
      <c r="I34" s="1"/>
    </row>
    <row r="35" spans="1:9" x14ac:dyDescent="0.25">
      <c r="A35" s="1"/>
      <c r="B35" s="97" t="s">
        <v>124</v>
      </c>
      <c r="C35" s="98"/>
      <c r="D35" s="98"/>
      <c r="E35" s="98"/>
      <c r="F35" s="99"/>
      <c r="G35" s="26">
        <f>(G29+G30-G31)*(1+'Fane 15. Nøgletal'!C12)</f>
        <v>51472145.079716966</v>
      </c>
      <c r="H35" s="14" t="s">
        <v>3</v>
      </c>
      <c r="I35" s="1"/>
    </row>
    <row r="36" spans="1:9" x14ac:dyDescent="0.25">
      <c r="A36" s="1"/>
      <c r="B36" s="97" t="s">
        <v>156</v>
      </c>
      <c r="C36" s="98"/>
      <c r="D36" s="98"/>
      <c r="E36" s="98"/>
      <c r="F36" s="99"/>
      <c r="G36" s="26">
        <f>-'Fane 13. Bortfald'!E24*(1+'Fane 15. Nøgletal'!C12)</f>
        <v>0</v>
      </c>
      <c r="H36" s="14" t="s">
        <v>3</v>
      </c>
      <c r="I36" s="1"/>
    </row>
    <row r="37" spans="1:9" x14ac:dyDescent="0.25">
      <c r="A37" s="1"/>
      <c r="B37" s="97" t="s">
        <v>121</v>
      </c>
      <c r="C37" s="98"/>
      <c r="D37" s="98"/>
      <c r="E37" s="98"/>
      <c r="F37" s="99"/>
      <c r="G37" s="26">
        <f>(G35+G36)*'Fane 15. Nøgletal'!C20</f>
        <v>1461808.9202639619</v>
      </c>
      <c r="H37" s="14" t="s">
        <v>3</v>
      </c>
      <c r="I37" s="1"/>
    </row>
    <row r="38" spans="1:9" x14ac:dyDescent="0.25">
      <c r="A38" s="1"/>
      <c r="B38" s="40"/>
      <c r="C38" s="34"/>
      <c r="D38" s="34"/>
      <c r="E38" s="34"/>
      <c r="F38" s="34"/>
      <c r="G38" s="34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4" t="s">
        <v>130</v>
      </c>
      <c r="C40" s="95"/>
      <c r="D40" s="95"/>
      <c r="E40" s="95"/>
      <c r="F40" s="95"/>
      <c r="G40" s="95"/>
      <c r="H40" s="96"/>
      <c r="I40" s="1"/>
    </row>
    <row r="41" spans="1:9" x14ac:dyDescent="0.25">
      <c r="A41" s="1"/>
      <c r="B41" s="97" t="s">
        <v>123</v>
      </c>
      <c r="C41" s="98"/>
      <c r="D41" s="98"/>
      <c r="E41" s="98"/>
      <c r="F41" s="99"/>
      <c r="G41" s="26">
        <f>(G35+G36-G37)*(1+'Fane 15. Nøgletal'!C12)</f>
        <v>50995539.781794228</v>
      </c>
      <c r="H41" s="14" t="s">
        <v>3</v>
      </c>
      <c r="I41" s="1"/>
    </row>
    <row r="42" spans="1:9" x14ac:dyDescent="0.25">
      <c r="A42" s="1"/>
      <c r="B42" s="97" t="s">
        <v>157</v>
      </c>
      <c r="C42" s="98"/>
      <c r="D42" s="98"/>
      <c r="E42" s="98"/>
      <c r="F42" s="99"/>
      <c r="G42" s="26">
        <f>-'Fane 13. Bortfald'!E30*(1+'Fane 15. Nøgletal'!C12)</f>
        <v>0</v>
      </c>
      <c r="H42" s="14" t="s">
        <v>3</v>
      </c>
      <c r="I42" s="1"/>
    </row>
    <row r="43" spans="1:9" x14ac:dyDescent="0.25">
      <c r="A43" s="1"/>
      <c r="B43" s="97" t="s">
        <v>122</v>
      </c>
      <c r="C43" s="98"/>
      <c r="D43" s="98"/>
      <c r="E43" s="98"/>
      <c r="F43" s="99"/>
      <c r="G43" s="26">
        <f>(G41+G42)*'Fane 15. Nøgletal'!C20</f>
        <v>1448273.3298029562</v>
      </c>
      <c r="H43" s="14" t="s">
        <v>3</v>
      </c>
      <c r="I43" s="1"/>
    </row>
    <row r="44" spans="1:9" x14ac:dyDescent="0.25">
      <c r="A44" s="1"/>
      <c r="B44" s="40"/>
      <c r="C44" s="34"/>
      <c r="D44" s="34"/>
      <c r="E44" s="34"/>
      <c r="F44" s="34"/>
      <c r="G44" s="34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Vp0SkFvUYheXkc53TyQd45l1ingbqEdm3I4I6pcy+42ooiiPPob1noMWMdrmToPokjthLfeVJwb/2MDqkPLxdQ==" saltValue="tE83HXidprDsuiuKdFQI1A==" spinCount="100000" sheet="1" objects="1" scenarios="1"/>
  <mergeCells count="29"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9" t="s">
        <v>148</v>
      </c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10</v>
      </c>
      <c r="C8" s="95"/>
      <c r="D8" s="95"/>
      <c r="E8" s="95"/>
      <c r="F8" s="95"/>
      <c r="G8" s="95"/>
      <c r="H8" s="96"/>
      <c r="I8" s="1"/>
    </row>
    <row r="9" spans="1:9" x14ac:dyDescent="0.25">
      <c r="A9" s="1"/>
      <c r="B9" s="97" t="s">
        <v>131</v>
      </c>
      <c r="C9" s="98"/>
      <c r="D9" s="98"/>
      <c r="E9" s="98"/>
      <c r="F9" s="99"/>
      <c r="G9" s="25">
        <v>0</v>
      </c>
      <c r="H9" s="14"/>
      <c r="I9" s="1"/>
    </row>
    <row r="10" spans="1:9" x14ac:dyDescent="0.25">
      <c r="A10" s="1"/>
      <c r="B10" s="97" t="s">
        <v>132</v>
      </c>
      <c r="C10" s="98"/>
      <c r="D10" s="98"/>
      <c r="E10" s="98"/>
      <c r="F10" s="99"/>
      <c r="G10" s="25">
        <v>1.0806561134100755E-3</v>
      </c>
      <c r="H10" s="14"/>
      <c r="I10" s="1"/>
    </row>
    <row r="11" spans="1:9" x14ac:dyDescent="0.25">
      <c r="A11" s="1"/>
      <c r="B11" s="97" t="s">
        <v>133</v>
      </c>
      <c r="C11" s="98"/>
      <c r="D11" s="98"/>
      <c r="E11" s="98"/>
      <c r="F11" s="99"/>
      <c r="G11" s="43">
        <v>2.9929398142640529E-3</v>
      </c>
      <c r="H11" s="14"/>
      <c r="I11" s="1"/>
    </row>
    <row r="12" spans="1:9" x14ac:dyDescent="0.25">
      <c r="A12" s="1"/>
      <c r="B12" s="40"/>
      <c r="C12" s="34"/>
      <c r="D12" s="34"/>
      <c r="E12" s="34"/>
      <c r="F12" s="34"/>
      <c r="G12" s="34"/>
      <c r="H12" s="22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ht="30.75" customHeight="1" x14ac:dyDescent="0.25">
      <c r="A14" s="20"/>
      <c r="B14" s="104" t="s">
        <v>78</v>
      </c>
      <c r="C14" s="104"/>
      <c r="D14" s="104"/>
      <c r="E14" s="104"/>
      <c r="F14" s="104"/>
      <c r="G14" s="104"/>
      <c r="H14" s="104"/>
      <c r="I14" s="20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qRIIg1JThbIwP0eaOAWZYeel1IhyZfomWd5oLX5j/z52TEm7qVnS+0zX8Aj6jKK8bA2johMfNWSCmITlgGjS1g==" saltValue="H7EovuamE+E+BsmQQ9cXsw==" spinCount="100000" sheet="1" objects="1" scenarios="1"/>
  <mergeCells count="6">
    <mergeCell ref="B3:H4"/>
    <mergeCell ref="B14:H14"/>
    <mergeCell ref="B9:F9"/>
    <mergeCell ref="B8:H8"/>
    <mergeCell ref="B10:F10"/>
    <mergeCell ref="B11: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20</vt:i4>
      </vt:variant>
    </vt:vector>
  </HeadingPairs>
  <TitlesOfParts>
    <vt:vector size="20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Periodevise driftsomk.</vt:lpstr>
      <vt:lpstr>Fane 12. Tilknyttet aktivitet</vt:lpstr>
      <vt:lpstr>Fane 13. Bortfald</vt:lpstr>
      <vt:lpstr>Fane 14. Hist. over-underdæk.</vt:lpstr>
      <vt:lpstr>Fane 15.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2019-10-12T15:00:14Z</dcterms:modified>
</cp:coreProperties>
</file>