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Assens Spildevand AS (S006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C9" i="2" l="1"/>
  <c r="C11" i="2"/>
  <c r="E19" i="40" l="1"/>
  <c r="E20" i="40"/>
  <c r="E12" i="40" l="1"/>
  <c r="E19" i="11" l="1"/>
  <c r="E18" i="11"/>
  <c r="E17" i="11"/>
  <c r="E16" i="11"/>
  <c r="E15" i="11"/>
  <c r="E14" i="11"/>
  <c r="E13" i="11"/>
  <c r="E12" i="11"/>
  <c r="E11" i="11"/>
  <c r="E16" i="40" l="1"/>
  <c r="E20" i="11" l="1"/>
  <c r="E21" i="11"/>
  <c r="E10" i="1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C34" i="2" l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26" i="15" l="1"/>
  <c r="F22" i="11" l="1"/>
  <c r="C10" i="37" s="1"/>
  <c r="C11" i="37" s="1"/>
  <c r="C12" i="37" s="1"/>
  <c r="C10" i="2" s="1"/>
  <c r="G22" i="11"/>
  <c r="E11" i="21" l="1"/>
  <c r="C11" i="21"/>
  <c r="E11" i="29"/>
  <c r="C11" i="29"/>
  <c r="C14" i="19"/>
  <c r="C15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22" i="11"/>
  <c r="E10" i="37" s="1"/>
  <c r="E11" i="37" s="1"/>
  <c r="E12" i="37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<sst xmlns="http://schemas.openxmlformats.org/spreadsheetml/2006/main" count="689" uniqueCount="272">
  <si>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</si>
  <si>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</si>
  <si>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</si>
  <si>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</si>
  <si>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</si>
  <si>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</si>
  <si>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</si>
  <si>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</si>
  <si>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</si>
  <si>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</si>
  <si>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</si>
  <si>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</si>
  <si>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</si>
  <si>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</si>
  <si>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</si>
  <si>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</si>
  <si>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</si>
  <si>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</si>
  <si>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</si>
  <si>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</si>
  <si>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</si>
  <si>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</si>
  <si>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</si>
  <si>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</si>
  <si>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</si>
  <si>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</si>
  <si>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</si>
  <si>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</si>
  <si>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</si>
  <si>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</si>
  <si>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</si>
  <si>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</si>
  <si>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</si>
  <si>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</si>
  <si>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</si>
  <si>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</si>
  <si>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</si>
  <si>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</si>
  <si>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</si>
  <si>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</si>
  <si>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</si>
  <si>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</si>
  <si>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</si>
  <si>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</si>
  <si>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</si>
  <si>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</si>
  <si>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</si>
  <si>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</si>
  <si>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</si>
  <si>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</si>
  <si>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</si>
  <si>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</si>
  <si>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</si>
  <si>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</si>
  <si>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</si>
  <si>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</si>
  <si>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</si>
  <si>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</si>
  <si>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</si>
  <si>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</si>
  <si>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</si>
  <si>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</si>
  <si>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</si>
  <si>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</si>
  <si>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</si>
  <si>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</si>
  <si>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</si>
  <si>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</si>
  <si>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</si>
  <si>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</si>
  <si>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</si>
  <si>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</si>
  <si>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</si>
  <si>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</si>
  <si>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</si>
  <si>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</si>
  <si>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</si>
  <si>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</si>
  <si>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</si>
  <si>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</si>
  <si>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</si>
  <si>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</si>
  <si>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</si>
  <si>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</si>
  <si>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</si>
  <si>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</si>
  <si>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</si>
  <si>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</si>
  <si>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</si>
  <si>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</si>
  <si>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</si>
  <si>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</si>
  <si>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</si>
  <si>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</si>
  <si>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</si>
  <si>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</si>
  <si>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</si>
  <si>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</si>
  <si>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</si>
  <si>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</si>
  <si>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</si>
  <si>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</si>
  <si>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</si>
  <si>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</si>
  <si>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</si>
  <si>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</si>
  <si>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</si>
  <si>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</si>
  <si>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</si>
  <si>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</si>
  <si>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</si>
  <si>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</si>
  <si>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</si>
  <si>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</si>
  <si>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</si>
  <si>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</si>
  <si>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</si>
  <si>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</si>
  <si>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</si>
  <si>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</si>
  <si>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</si>
  <si>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</si>
  <si>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</si>
  <si>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</si>
  <si>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</si>
  <si>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</si>
  <si>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</si>
  <si>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</si>
  <si>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</si>
  <si>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</si>
  <si>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</si>
  <si>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</si>
  <si>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</si>
  <si>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</si>
  <si>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</si>
  <si>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</si>
  <si>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</si>
  <si>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</si>
  <si>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</si>
  <si>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</si>
  <si>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</si>
  <si>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</si>
  <si>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</si>
  <si>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</si>
  <si>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</si>
  <si>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</si>
  <si>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</si>
  <si>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</si>
  <si>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</si>
  <si>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</si>
  <si>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</si>
  <si>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</si>
  <si>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</si>
  <si>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</si>
  <si>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</si>
  <si>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</si>
  <si>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</si>
  <si>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</si>
  <si>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</si>
  <si>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</si>
  <si>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</si>
  <si>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</si>
  <si>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</si>
  <si>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</si>
  <si>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</si>
  <si>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</si>
  <si>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</si>
  <si>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</si>
  <si>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</si>
  <si>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</si>
  <si>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</si>
  <si>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</si>
  <si>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</si>
  <si>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</si>
  <si>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</si>
  <si>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</si>
  <si>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</si>
  <si>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</si>
  <si>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</si>
  <si>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</si>
  <si>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</si>
  <si>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</si>
  <si>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</si>
  <si>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</si>
  <si>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</si>
  <si>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</si>
  <si>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</si>
  <si>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</si>
  <si>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</si>
  <si>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</si>
  <si>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</si>
  <si>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</si>
  <si>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</si>
  <si>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</si>
  <si>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</si>
  <si>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</si>
  <si>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</si>
  <si>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</si>
  <si>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</si>
  <si>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</si>
  <si>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</si>
  <si>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</si>
  <si>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</si>
  <si>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</si>
  <si>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</si>
  <si>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</si>
  <si>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</si>
  <si>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</si>
  <si>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</si>
  <si>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</si>
  <si>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</si>
  <si>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</si>
  <si>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</si>
  <si>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</si>
  <si>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</si>
  <si>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</si>
  <si>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</si>
  <si>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</si>
  <si>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</si>
  <si>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</si>
  <si>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</si>
  <si>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</si>
  <si>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</si>
  <si>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</si>
  <si>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</si>
  <si>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</si>
  <si>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</si>
  <si>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</si>
  <si>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</si>
  <si>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</si>
  <si>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</si>
  <si>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</si>
  <si>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</si>
  <si>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</si>
  <si>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</si>
  <si>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</si>
  <si>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</si>
  <si>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</si>
  <si>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</si>
  <si>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</si>
  <si>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</si>
  <si>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</si>
  <si>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</si>
  <si>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</si>
  <si>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</si>
  <si>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</si>
  <si>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</si>
  <si>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</si>
  <si>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</si>
  <si>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</si>
  <si>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</si>
  <si>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</si>
  <si>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</si>
  <si>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</si>
  <si>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</si>
  <si>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</si>
  <si>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</si>
  <si>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</si>
  <si>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</si>
  <si>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Afgift til Forsyningssekretariatet</t>
  </si>
  <si>
    <t>Køb af ydelser og produkter fra andre vandselskaber reguleret af vandsektorloven</t>
  </si>
  <si>
    <t>Ejendomsskatter</t>
  </si>
  <si>
    <t>Erstatninger</t>
  </si>
  <si>
    <t>Ingen engangstillæg</t>
  </si>
  <si>
    <t>Ø 200 mm &lt; Ledningsnet ≤ Ø 500 mm</t>
  </si>
  <si>
    <t>Brønde</t>
  </si>
  <si>
    <t>Stik</t>
  </si>
  <si>
    <t>Jordbassin Klasse A</t>
  </si>
  <si>
    <t>Ledningsnet ≤ Ø 200 mm</t>
  </si>
  <si>
    <t>Ø 500 mm &lt; Ledningsnet ≤ Ø 800 mm</t>
  </si>
  <si>
    <t>Ø 800 mm &lt; Ledningsnet ≤ Ø 1000 mm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</si>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</sst>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8" fillId="0" borderId="1" xfId="0" applyNumberFormat="1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172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52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23</v>
      </c>
      <c r="D14" s="57" t="s">
        <v>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51</v>
      </c>
      <c r="D15" s="57" t="s">
        <v>135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53</v>
      </c>
      <c r="D16" s="57" t="s">
        <v>136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241</v>
      </c>
      <c r="D17" s="57" t="s">
        <v>63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212</v>
      </c>
      <c r="D18" s="69" t="s">
        <v>180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213</v>
      </c>
      <c r="D19" s="69" t="s">
        <v>181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214</v>
      </c>
      <c r="D21" s="61" t="s">
        <v>17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142</v>
      </c>
      <c r="D22" s="64" t="s">
        <v>176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249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55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215</v>
      </c>
      <c r="D25" s="64" t="s">
        <v>143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216</v>
      </c>
      <c r="D26" s="64" t="s">
        <v>144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217</v>
      </c>
      <c r="D27" s="64" t="s">
        <v>145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22</v>
      </c>
      <c r="D28" s="64" t="s">
        <v>56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58</v>
      </c>
      <c r="D29" s="64" t="s">
        <v>57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59</v>
      </c>
      <c r="D30" s="75" t="s">
        <v>11</v>
      </c>
      <c r="E30" s="76"/>
      <c r="F30" s="76"/>
      <c r="G30" s="77"/>
      <c r="H30" s="1"/>
      <c r="I30" s="1"/>
    </row>
    <row r="31" spans="1:9" x14ac:dyDescent="0.25">
      <c r="A31" s="1"/>
      <c r="B31" s="1"/>
      <c r="C31" s="6" t="s">
        <v>175</v>
      </c>
      <c r="D31" s="72" t="s">
        <v>207</v>
      </c>
      <c r="E31" s="73"/>
      <c r="F31" s="73"/>
      <c r="G31" s="74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g2SkB/Pgz0rUgaPcj2D1QYpb6CUgCQrECDa1Dje/1ZJFvKYOgwRQt3cblHvFJ6CqcuaCubQaC7chUYD4KI8sYw==" saltValue="BaAVEH3Yf4K/90Ihfc1xaQ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220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3" t="s">
        <v>66</v>
      </c>
      <c r="C8" s="94"/>
      <c r="D8" s="95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4" t="s">
        <v>259</v>
      </c>
      <c r="C10" s="9">
        <v>44365</v>
      </c>
      <c r="D10" s="14" t="s">
        <v>3</v>
      </c>
      <c r="E10" s="1"/>
      <c r="F10" s="1"/>
    </row>
    <row r="11" spans="1:6" ht="26.25" x14ac:dyDescent="0.25">
      <c r="A11" s="1"/>
      <c r="B11" s="35" t="s">
        <v>260</v>
      </c>
      <c r="C11" s="9">
        <v>15967384</v>
      </c>
      <c r="D11" s="14" t="s">
        <v>3</v>
      </c>
      <c r="E11" s="1"/>
      <c r="F11" s="1"/>
    </row>
    <row r="12" spans="1:6" x14ac:dyDescent="0.25">
      <c r="A12" s="1"/>
      <c r="B12" s="35" t="s">
        <v>261</v>
      </c>
      <c r="C12" s="9">
        <v>184272.23</v>
      </c>
      <c r="D12" s="14" t="s">
        <v>3</v>
      </c>
      <c r="E12" s="1"/>
      <c r="F12" s="1"/>
    </row>
    <row r="13" spans="1:6" x14ac:dyDescent="0.25">
      <c r="A13" s="1"/>
      <c r="B13" s="54" t="s">
        <v>262</v>
      </c>
      <c r="C13" s="9">
        <v>360339</v>
      </c>
      <c r="D13" s="14" t="s">
        <v>3</v>
      </c>
      <c r="E13" s="1"/>
      <c r="F13" s="1"/>
    </row>
    <row r="14" spans="1:6" x14ac:dyDescent="0.25">
      <c r="A14" s="1"/>
      <c r="B14" s="40" t="s">
        <v>68</v>
      </c>
      <c r="C14" s="12">
        <f>SUM(C10:C13)</f>
        <v>16556360.23</v>
      </c>
      <c r="D14" s="13" t="s">
        <v>3</v>
      </c>
      <c r="E14" s="1"/>
      <c r="F14" s="1"/>
    </row>
    <row r="15" spans="1:6" x14ac:dyDescent="0.25">
      <c r="A15" s="1"/>
      <c r="B15" s="40" t="s">
        <v>69</v>
      </c>
      <c r="C15" s="12">
        <f>C14*(1+'Fane 15. Nøgletal'!C12)^2</f>
        <v>17215106.180903662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3" t="s">
        <v>236</v>
      </c>
      <c r="C18" s="94"/>
      <c r="D18" s="95"/>
      <c r="E18" s="1"/>
      <c r="F18" s="1"/>
    </row>
    <row r="19" spans="1:6" x14ac:dyDescent="0.25">
      <c r="A19" s="1"/>
      <c r="B19" s="54" t="s">
        <v>197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198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199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93"/>
      <c r="C23" s="94"/>
      <c r="D23" s="95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3" t="s">
        <v>196</v>
      </c>
      <c r="C26" s="94"/>
      <c r="D26" s="95"/>
      <c r="E26" s="1"/>
      <c r="F26" s="1"/>
    </row>
    <row r="27" spans="1:6" x14ac:dyDescent="0.25">
      <c r="A27" s="1"/>
      <c r="B27" s="54" t="s">
        <v>197</v>
      </c>
      <c r="C27" s="9">
        <v>998309</v>
      </c>
      <c r="D27" s="14" t="s">
        <v>3</v>
      </c>
      <c r="E27" s="1"/>
      <c r="F27" s="1"/>
    </row>
    <row r="28" spans="1:6" x14ac:dyDescent="0.25">
      <c r="A28" s="1"/>
      <c r="B28" s="54" t="s">
        <v>198</v>
      </c>
      <c r="C28" s="9">
        <v>998309</v>
      </c>
      <c r="D28" s="14" t="s">
        <v>3</v>
      </c>
      <c r="E28" s="1"/>
      <c r="F28" s="1"/>
    </row>
    <row r="29" spans="1:6" x14ac:dyDescent="0.25">
      <c r="A29" s="1"/>
      <c r="B29" s="54" t="s">
        <v>199</v>
      </c>
      <c r="C29" s="9">
        <v>998309</v>
      </c>
      <c r="D29" s="14" t="s">
        <v>3</v>
      </c>
      <c r="E29" s="1"/>
      <c r="F29" s="1"/>
    </row>
    <row r="30" spans="1:6" x14ac:dyDescent="0.25">
      <c r="A30" s="1"/>
      <c r="B30" s="54" t="s">
        <v>200</v>
      </c>
      <c r="C30" s="9">
        <v>998309</v>
      </c>
      <c r="D30" s="14" t="s">
        <v>3</v>
      </c>
      <c r="E30" s="1"/>
      <c r="F30" s="1"/>
    </row>
    <row r="31" spans="1:6" x14ac:dyDescent="0.25">
      <c r="A31" s="1"/>
      <c r="B31" s="93"/>
      <c r="C31" s="94"/>
      <c r="D31" s="95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CWF+Zekh8QjqEI4Uu5zAnL+LQ4zLoKYmRczNhGZgDeXryfAHxv1SQCNZiZYQYGL/mQBvt5GJ0U8wUd19iiTaiQ==" saltValue="S4dGaxh3C305JgS5xgwLsg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226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183</v>
      </c>
      <c r="C8" s="94"/>
      <c r="D8" s="94"/>
      <c r="E8" s="94"/>
      <c r="F8" s="95"/>
      <c r="G8" s="1"/>
    </row>
    <row r="9" spans="1:7" x14ac:dyDescent="0.25">
      <c r="A9" s="1"/>
      <c r="B9" s="96" t="s">
        <v>184</v>
      </c>
      <c r="C9" s="97"/>
      <c r="D9" s="98"/>
      <c r="E9" s="9">
        <v>101279618.08194984</v>
      </c>
      <c r="F9" s="14" t="s">
        <v>3</v>
      </c>
      <c r="G9" s="1"/>
    </row>
    <row r="10" spans="1:7" x14ac:dyDescent="0.25">
      <c r="A10" s="1"/>
      <c r="B10" s="96" t="s">
        <v>185</v>
      </c>
      <c r="C10" s="97"/>
      <c r="D10" s="98"/>
      <c r="E10" s="9">
        <v>88048740</v>
      </c>
      <c r="F10" s="14" t="s">
        <v>3</v>
      </c>
      <c r="G10" s="1"/>
    </row>
    <row r="11" spans="1:7" x14ac:dyDescent="0.25">
      <c r="A11" s="1"/>
      <c r="B11" s="96" t="s">
        <v>50</v>
      </c>
      <c r="C11" s="97"/>
      <c r="D11" s="98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13230878.081949845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0" t="s">
        <v>208</v>
      </c>
      <c r="C14" s="81"/>
      <c r="D14" s="81"/>
      <c r="E14" s="81"/>
      <c r="F14" s="82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3" t="s">
        <v>73</v>
      </c>
      <c r="C17" s="94"/>
      <c r="D17" s="94"/>
      <c r="E17" s="94"/>
      <c r="F17" s="95"/>
      <c r="G17" s="1"/>
    </row>
    <row r="18" spans="1:7" x14ac:dyDescent="0.25">
      <c r="A18" s="1"/>
      <c r="B18" s="96" t="s">
        <v>74</v>
      </c>
      <c r="C18" s="97"/>
      <c r="D18" s="98"/>
      <c r="E18" s="9">
        <v>107335177.15730543</v>
      </c>
      <c r="F18" s="14" t="s">
        <v>3</v>
      </c>
      <c r="G18" s="1"/>
    </row>
    <row r="19" spans="1:7" x14ac:dyDescent="0.25">
      <c r="A19" s="1"/>
      <c r="B19" s="96" t="s">
        <v>75</v>
      </c>
      <c r="C19" s="97"/>
      <c r="D19" s="98"/>
      <c r="E19" s="9">
        <v>126604695</v>
      </c>
      <c r="F19" s="14" t="s">
        <v>3</v>
      </c>
      <c r="G19" s="1"/>
    </row>
    <row r="20" spans="1:7" x14ac:dyDescent="0.25">
      <c r="A20" s="1"/>
      <c r="B20" s="96" t="s">
        <v>50</v>
      </c>
      <c r="C20" s="97"/>
      <c r="D20" s="98"/>
      <c r="E20" s="9">
        <v>237000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-19032517.842694566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3" t="s">
        <v>179</v>
      </c>
      <c r="C25" s="94"/>
      <c r="D25" s="94"/>
      <c r="E25" s="94"/>
      <c r="F25" s="95"/>
      <c r="G25" s="1"/>
    </row>
    <row r="26" spans="1:7" x14ac:dyDescent="0.25">
      <c r="A26" s="1"/>
      <c r="B26" s="104" t="s">
        <v>174</v>
      </c>
      <c r="C26" s="105"/>
      <c r="D26" s="106"/>
      <c r="E26" s="9">
        <f>IF(E12+E21&lt;0,E12+E21,0)</f>
        <v>-5801639.7607447207</v>
      </c>
      <c r="F26" s="14" t="s">
        <v>3</v>
      </c>
      <c r="G26" s="1"/>
    </row>
    <row r="27" spans="1:7" x14ac:dyDescent="0.25">
      <c r="A27" s="1"/>
      <c r="B27" s="104" t="s">
        <v>204</v>
      </c>
      <c r="C27" s="105"/>
      <c r="D27" s="106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-2900819.8803723603</v>
      </c>
      <c r="F28" s="17" t="s">
        <v>3</v>
      </c>
      <c r="G28" s="1"/>
    </row>
    <row r="29" spans="1:7" x14ac:dyDescent="0.25">
      <c r="A29" s="1"/>
      <c r="B29" s="107"/>
      <c r="C29" s="108"/>
      <c r="D29" s="108"/>
      <c r="E29" s="108"/>
      <c r="F29" s="109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8sd6LNruZEZJ0nFPw+Y7VmqKPXBtq3K7bqE64afTVpXPzZDElUdmHgMMojeT0aWmnk1kFdV1Nwe+1OjqqBNq0Q==" saltValue="qgD1LqMOsedeDtFpwpD8aQ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252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3" t="s">
        <v>177</v>
      </c>
      <c r="C9" s="94"/>
      <c r="D9" s="94"/>
      <c r="E9" s="94"/>
      <c r="F9" s="94"/>
      <c r="G9" s="1"/>
    </row>
    <row r="10" spans="1:7" x14ac:dyDescent="0.25">
      <c r="A10" s="1"/>
      <c r="B10" s="80" t="s">
        <v>201</v>
      </c>
      <c r="C10" s="81"/>
      <c r="D10" s="82"/>
      <c r="E10" s="7">
        <v>2458326.130032918</v>
      </c>
      <c r="F10" s="8" t="s">
        <v>3</v>
      </c>
      <c r="G10" s="1"/>
    </row>
    <row r="11" spans="1:7" x14ac:dyDescent="0.25">
      <c r="A11" s="1"/>
      <c r="B11" s="96" t="s">
        <v>202</v>
      </c>
      <c r="C11" s="97"/>
      <c r="D11" s="98"/>
      <c r="E11" s="7">
        <v>1408035.24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-1050290.890032918</v>
      </c>
      <c r="F12" s="11" t="s">
        <v>3</v>
      </c>
      <c r="G12" s="1"/>
    </row>
    <row r="13" spans="1:7" x14ac:dyDescent="0.25">
      <c r="A13" s="1"/>
      <c r="B13" s="93" t="s">
        <v>178</v>
      </c>
      <c r="C13" s="94"/>
      <c r="D13" s="94"/>
      <c r="E13" s="94"/>
      <c r="F13" s="94"/>
      <c r="G13" s="1"/>
    </row>
    <row r="14" spans="1:7" x14ac:dyDescent="0.25">
      <c r="A14" s="1"/>
      <c r="B14" s="96" t="s">
        <v>210</v>
      </c>
      <c r="C14" s="97"/>
      <c r="D14" s="98"/>
      <c r="E14" s="9">
        <v>0</v>
      </c>
      <c r="F14" s="8" t="s">
        <v>3</v>
      </c>
      <c r="G14" s="1"/>
    </row>
    <row r="15" spans="1:7" x14ac:dyDescent="0.25">
      <c r="A15" s="1"/>
      <c r="B15" s="80" t="s">
        <v>211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93" t="s">
        <v>173</v>
      </c>
      <c r="C17" s="94"/>
      <c r="D17" s="94"/>
      <c r="E17" s="94"/>
      <c r="F17" s="94"/>
      <c r="G17" s="1"/>
    </row>
    <row r="18" spans="1:7" ht="28.15" customHeight="1" x14ac:dyDescent="0.25">
      <c r="A18" s="1"/>
      <c r="B18" s="80" t="s">
        <v>258</v>
      </c>
      <c r="C18" s="81"/>
      <c r="D18" s="82"/>
      <c r="E18" s="9">
        <v>-9711.119024528889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-1050290.890032918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hn4dMcj8uLiV/WXvG72fmuI/lfkQ3hH0Xm9w9Zsx4tb/xq8NnVREHr45SvI1W38aFh1FXxt2n7ZOqdwMtM5qg==" saltValue="z15F0qDXHDqvPhBM9wWmyw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253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254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ht="26.25" x14ac:dyDescent="0.25">
      <c r="A10" s="1"/>
      <c r="B10" s="56" t="s">
        <v>264</v>
      </c>
      <c r="C10" s="45">
        <v>75</v>
      </c>
      <c r="D10" s="9">
        <v>5927741</v>
      </c>
      <c r="E10" s="9">
        <f>IFERROR(D10/C10,0)</f>
        <v>79036.546666666662</v>
      </c>
      <c r="F10" s="9">
        <v>0</v>
      </c>
      <c r="G10" s="9">
        <v>168348</v>
      </c>
      <c r="H10" s="14" t="s">
        <v>3</v>
      </c>
      <c r="I10" s="1"/>
    </row>
    <row r="11" spans="1:9" x14ac:dyDescent="0.25">
      <c r="A11" s="1"/>
      <c r="B11" s="56" t="s">
        <v>265</v>
      </c>
      <c r="C11" s="45">
        <v>75</v>
      </c>
      <c r="D11" s="9">
        <v>9710193</v>
      </c>
      <c r="E11" s="9">
        <f t="shared" ref="E11:E19" si="0">IFERROR(D11/C11,0)</f>
        <v>129469.24</v>
      </c>
      <c r="F11" s="9">
        <v>0</v>
      </c>
      <c r="G11" s="9">
        <v>275769</v>
      </c>
      <c r="H11" s="14" t="s">
        <v>3</v>
      </c>
      <c r="I11" s="1"/>
    </row>
    <row r="12" spans="1:9" x14ac:dyDescent="0.25">
      <c r="A12" s="1"/>
      <c r="B12" s="56" t="s">
        <v>266</v>
      </c>
      <c r="C12" s="45">
        <v>75</v>
      </c>
      <c r="D12" s="9">
        <v>99963</v>
      </c>
      <c r="E12" s="9">
        <f t="shared" si="0"/>
        <v>1332.84</v>
      </c>
      <c r="F12" s="9">
        <v>0</v>
      </c>
      <c r="G12" s="9">
        <v>2839</v>
      </c>
      <c r="H12" s="14" t="s">
        <v>3</v>
      </c>
      <c r="I12" s="1"/>
    </row>
    <row r="13" spans="1:9" ht="26.25" x14ac:dyDescent="0.25">
      <c r="A13" s="1"/>
      <c r="B13" s="56" t="s">
        <v>264</v>
      </c>
      <c r="C13" s="45">
        <v>75</v>
      </c>
      <c r="D13" s="9">
        <v>4219541</v>
      </c>
      <c r="E13" s="9">
        <f t="shared" si="0"/>
        <v>56260.546666666669</v>
      </c>
      <c r="F13" s="9">
        <v>0</v>
      </c>
      <c r="G13" s="9">
        <v>119835</v>
      </c>
      <c r="H13" s="14" t="s">
        <v>3</v>
      </c>
      <c r="I13" s="1"/>
    </row>
    <row r="14" spans="1:9" x14ac:dyDescent="0.25">
      <c r="A14" s="1"/>
      <c r="B14" s="56" t="s">
        <v>266</v>
      </c>
      <c r="C14" s="45">
        <v>75</v>
      </c>
      <c r="D14" s="9">
        <v>112121</v>
      </c>
      <c r="E14" s="9">
        <f t="shared" si="0"/>
        <v>1494.9466666666667</v>
      </c>
      <c r="F14" s="9">
        <v>0</v>
      </c>
      <c r="G14" s="9">
        <v>3184</v>
      </c>
      <c r="H14" s="14" t="s">
        <v>3</v>
      </c>
      <c r="I14" s="1"/>
    </row>
    <row r="15" spans="1:9" x14ac:dyDescent="0.25">
      <c r="A15" s="1"/>
      <c r="B15" s="56" t="s">
        <v>265</v>
      </c>
      <c r="C15" s="45">
        <v>75</v>
      </c>
      <c r="D15" s="9">
        <v>9716170</v>
      </c>
      <c r="E15" s="9">
        <f t="shared" si="0"/>
        <v>129548.93333333333</v>
      </c>
      <c r="F15" s="9">
        <v>0</v>
      </c>
      <c r="G15" s="9">
        <v>275939</v>
      </c>
      <c r="H15" s="14" t="s">
        <v>3</v>
      </c>
      <c r="I15" s="1"/>
    </row>
    <row r="16" spans="1:9" x14ac:dyDescent="0.25">
      <c r="A16" s="1"/>
      <c r="B16" s="56" t="s">
        <v>267</v>
      </c>
      <c r="C16" s="45">
        <v>50</v>
      </c>
      <c r="D16" s="9">
        <v>540000</v>
      </c>
      <c r="E16" s="9">
        <f t="shared" si="0"/>
        <v>10800</v>
      </c>
      <c r="F16" s="9">
        <v>0</v>
      </c>
      <c r="G16" s="9">
        <v>15336</v>
      </c>
      <c r="H16" s="14" t="s">
        <v>3</v>
      </c>
      <c r="I16" s="1"/>
    </row>
    <row r="17" spans="1:9" x14ac:dyDescent="0.25">
      <c r="A17" s="1"/>
      <c r="B17" s="56" t="s">
        <v>268</v>
      </c>
      <c r="C17" s="45">
        <v>75</v>
      </c>
      <c r="D17" s="9">
        <v>2934559</v>
      </c>
      <c r="E17" s="9">
        <f t="shared" si="0"/>
        <v>39127.453333333331</v>
      </c>
      <c r="F17" s="9">
        <v>0</v>
      </c>
      <c r="G17" s="9">
        <v>83341</v>
      </c>
      <c r="H17" s="14" t="s">
        <v>3</v>
      </c>
      <c r="I17" s="1"/>
    </row>
    <row r="18" spans="1:9" ht="26.25" x14ac:dyDescent="0.25">
      <c r="A18" s="1"/>
      <c r="B18" s="56" t="s">
        <v>269</v>
      </c>
      <c r="C18" s="45">
        <v>75</v>
      </c>
      <c r="D18" s="9">
        <v>1495925</v>
      </c>
      <c r="E18" s="9">
        <f t="shared" si="0"/>
        <v>19945.666666666668</v>
      </c>
      <c r="F18" s="9">
        <v>0</v>
      </c>
      <c r="G18" s="9">
        <v>42484</v>
      </c>
      <c r="H18" s="14" t="s">
        <v>3</v>
      </c>
      <c r="I18" s="1"/>
    </row>
    <row r="19" spans="1:9" x14ac:dyDescent="0.25">
      <c r="A19" s="1"/>
      <c r="B19" s="56" t="s">
        <v>268</v>
      </c>
      <c r="C19" s="45">
        <v>75</v>
      </c>
      <c r="D19" s="9">
        <v>3004149</v>
      </c>
      <c r="E19" s="9">
        <f t="shared" si="0"/>
        <v>40055.32</v>
      </c>
      <c r="F19" s="9">
        <v>0</v>
      </c>
      <c r="G19" s="9">
        <v>85318</v>
      </c>
      <c r="H19" s="14" t="s">
        <v>3</v>
      </c>
      <c r="I19" s="1"/>
    </row>
    <row r="20" spans="1:9" ht="26.25" x14ac:dyDescent="0.25">
      <c r="A20" s="1"/>
      <c r="B20" s="56" t="s">
        <v>269</v>
      </c>
      <c r="C20" s="45">
        <v>75</v>
      </c>
      <c r="D20" s="9">
        <v>2875216</v>
      </c>
      <c r="E20" s="9">
        <f t="shared" ref="E20:E21" si="1">IFERROR(D20/C20,0)</f>
        <v>38336.213333333333</v>
      </c>
      <c r="F20" s="9">
        <v>0</v>
      </c>
      <c r="G20" s="9">
        <v>81656</v>
      </c>
      <c r="H20" s="14" t="s">
        <v>3</v>
      </c>
      <c r="I20" s="1"/>
    </row>
    <row r="21" spans="1:9" ht="26.25" x14ac:dyDescent="0.25">
      <c r="A21" s="1"/>
      <c r="B21" s="56" t="s">
        <v>270</v>
      </c>
      <c r="C21" s="45">
        <v>75</v>
      </c>
      <c r="D21" s="9">
        <v>782305</v>
      </c>
      <c r="E21" s="9">
        <f t="shared" si="1"/>
        <v>10430.733333333334</v>
      </c>
      <c r="F21" s="9">
        <v>0</v>
      </c>
      <c r="G21" s="9">
        <v>22217</v>
      </c>
      <c r="H21" s="14" t="s">
        <v>3</v>
      </c>
      <c r="I21" s="1"/>
    </row>
    <row r="22" spans="1:9" x14ac:dyDescent="0.25">
      <c r="A22" s="1"/>
      <c r="B22" s="93" t="s">
        <v>255</v>
      </c>
      <c r="C22" s="94"/>
      <c r="D22" s="95"/>
      <c r="E22" s="12">
        <f>SUM(E10:E21)</f>
        <v>555838.43999999994</v>
      </c>
      <c r="F22" s="12">
        <f>SUM(F10:F21)</f>
        <v>0</v>
      </c>
      <c r="G22" s="12">
        <f>SUM(G10:G21)</f>
        <v>1176266</v>
      </c>
      <c r="H22" s="13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  <row r="51" spans="2:8" x14ac:dyDescent="0.25">
      <c r="B51" s="1"/>
      <c r="C51" s="1"/>
      <c r="D51" s="1"/>
      <c r="E51" s="1"/>
      <c r="F51" s="1"/>
      <c r="G51" s="1"/>
      <c r="H51" s="1"/>
    </row>
    <row r="52" spans="2:8" x14ac:dyDescent="0.25">
      <c r="B52" s="1"/>
      <c r="C52" s="1"/>
      <c r="D52" s="1"/>
      <c r="E52" s="1"/>
      <c r="F52" s="1"/>
      <c r="G52" s="1"/>
      <c r="H52" s="1"/>
    </row>
    <row r="53" spans="2:8" x14ac:dyDescent="0.25">
      <c r="B53" s="1"/>
      <c r="C53" s="1"/>
      <c r="D53" s="1"/>
      <c r="E53" s="1"/>
      <c r="F53" s="1"/>
      <c r="G53" s="1"/>
      <c r="H53" s="1"/>
    </row>
    <row r="54" spans="2:8" x14ac:dyDescent="0.25">
      <c r="B54" s="1"/>
      <c r="C54" s="1"/>
      <c r="D54" s="1"/>
      <c r="E54" s="1"/>
      <c r="F54" s="1"/>
      <c r="G54" s="1"/>
      <c r="H54" s="1"/>
    </row>
    <row r="55" spans="2:8" x14ac:dyDescent="0.25">
      <c r="B55" s="1"/>
      <c r="C55" s="1"/>
      <c r="D55" s="1"/>
      <c r="E55" s="1"/>
      <c r="F55" s="1"/>
      <c r="G55" s="1"/>
      <c r="H55" s="1"/>
    </row>
    <row r="56" spans="2:8" x14ac:dyDescent="0.25">
      <c r="B56" s="1"/>
      <c r="C56" s="1"/>
      <c r="D56" s="1"/>
      <c r="E56" s="1"/>
      <c r="F56" s="1"/>
      <c r="G56" s="1"/>
      <c r="H56" s="1"/>
    </row>
    <row r="57" spans="2:8" x14ac:dyDescent="0.25">
      <c r="B57" s="1"/>
      <c r="C57" s="1"/>
      <c r="D57" s="1"/>
      <c r="E57" s="1"/>
      <c r="F57" s="1"/>
      <c r="G57" s="1"/>
      <c r="H57" s="1"/>
    </row>
  </sheetData>
  <sheetProtection algorithmName="SHA-512" hashValue="NcLKrwTrlFu2yzJ/+YGUDQ8UUrpVLdRU+yg2wp+GERSiCQ4EOqKKkdxtD/0MkKSfUjPjdWhhfTzfkXVSrvVonA==" saltValue="DO1z6GX78nM0aWRgDHtoig==" spinCount="100000" sheet="1" objects="1" scenarios="1"/>
  <mergeCells count="3">
    <mergeCell ref="B3:H4"/>
    <mergeCell ref="B22:D22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225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0" t="s">
        <v>25</v>
      </c>
      <c r="C9" s="50" t="s">
        <v>16</v>
      </c>
      <c r="D9" s="51"/>
      <c r="E9" s="50" t="s">
        <v>48</v>
      </c>
      <c r="F9" s="39"/>
      <c r="G9" s="1"/>
    </row>
    <row r="10" spans="1:7" x14ac:dyDescent="0.25">
      <c r="A10" s="1"/>
      <c r="B10" s="27" t="s">
        <v>271</v>
      </c>
      <c r="C10" s="24">
        <f>'Fane 9. Anlægsprojekter'!F22</f>
        <v>0</v>
      </c>
      <c r="D10" s="14" t="s">
        <v>3</v>
      </c>
      <c r="E10" s="9">
        <f>SUM('Fane 9. Anlægsprojekter'!E22,'Fane 9. Anlægsprojekter'!G22)</f>
        <v>1732104.44</v>
      </c>
      <c r="F10" s="14" t="s">
        <v>3</v>
      </c>
      <c r="G10" s="1"/>
    </row>
    <row r="11" spans="1:7" x14ac:dyDescent="0.25">
      <c r="A11" s="1"/>
      <c r="B11" s="40" t="s">
        <v>60</v>
      </c>
      <c r="C11" s="12">
        <f>SUM(C10:C10)</f>
        <v>0</v>
      </c>
      <c r="D11" s="13" t="s">
        <v>3</v>
      </c>
      <c r="E11" s="12">
        <f>SUM(E10:E10)</f>
        <v>1732104.44</v>
      </c>
      <c r="F11" s="13" t="s">
        <v>3</v>
      </c>
      <c r="G11" s="1"/>
    </row>
    <row r="12" spans="1:7" x14ac:dyDescent="0.25">
      <c r="A12" s="1"/>
      <c r="B12" s="40" t="s">
        <v>70</v>
      </c>
      <c r="C12" s="12">
        <f>C11*(1+'Fane 15. Nøgletal'!C12)</f>
        <v>0</v>
      </c>
      <c r="D12" s="13" t="s">
        <v>3</v>
      </c>
      <c r="E12" s="12">
        <f>E11*(1+'Fane 15. Nøgletal'!C12)</f>
        <v>1766226.897468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oWUtJBq1QquOOdkqZYllc7da/a+c4xYPs1bN+oletB+/S2iQou36sUhuw+4XkFcrhC+4/aVVgHZj2lahFYj5Ig==" saltValue="W1BoKO2JdJ0j3lIeIUukf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224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187</v>
      </c>
      <c r="C8" s="94"/>
      <c r="D8" s="94"/>
      <c r="E8" s="94"/>
      <c r="F8" s="95"/>
      <c r="G8" s="1"/>
    </row>
    <row r="9" spans="1:7" x14ac:dyDescent="0.25">
      <c r="A9" s="1"/>
      <c r="B9" s="50" t="s">
        <v>25</v>
      </c>
      <c r="C9" s="50" t="s">
        <v>16</v>
      </c>
      <c r="D9" s="51"/>
      <c r="E9" s="50" t="s">
        <v>48</v>
      </c>
      <c r="F9" s="39"/>
      <c r="G9" s="1"/>
    </row>
    <row r="10" spans="1:7" x14ac:dyDescent="0.25">
      <c r="A10" s="1"/>
      <c r="B10" s="27" t="s">
        <v>263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3" t="s">
        <v>188</v>
      </c>
      <c r="C16" s="94"/>
      <c r="D16" s="94"/>
      <c r="E16" s="94"/>
      <c r="F16" s="95"/>
      <c r="G16" s="1"/>
    </row>
    <row r="17" spans="1:7" x14ac:dyDescent="0.25">
      <c r="A17" s="1"/>
      <c r="B17" s="50" t="s">
        <v>25</v>
      </c>
      <c r="C17" s="50" t="s">
        <v>16</v>
      </c>
      <c r="D17" s="51"/>
      <c r="E17" s="50" t="s">
        <v>48</v>
      </c>
      <c r="F17" s="39"/>
      <c r="G17" s="1"/>
    </row>
    <row r="18" spans="1:7" x14ac:dyDescent="0.25">
      <c r="A18" s="1"/>
      <c r="B18" s="27" t="s">
        <v>263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3" t="s">
        <v>189</v>
      </c>
      <c r="C24" s="94"/>
      <c r="D24" s="94"/>
      <c r="E24" s="94"/>
      <c r="F24" s="95"/>
      <c r="G24" s="1"/>
    </row>
    <row r="25" spans="1:7" x14ac:dyDescent="0.25">
      <c r="A25" s="1"/>
      <c r="B25" s="50" t="s">
        <v>25</v>
      </c>
      <c r="C25" s="50" t="s">
        <v>16</v>
      </c>
      <c r="D25" s="51"/>
      <c r="E25" s="50" t="s">
        <v>48</v>
      </c>
      <c r="F25" s="39"/>
      <c r="G25" s="1"/>
    </row>
    <row r="26" spans="1:7" x14ac:dyDescent="0.25">
      <c r="A26" s="1"/>
      <c r="B26" s="27" t="s">
        <v>263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3" t="s">
        <v>190</v>
      </c>
      <c r="C32" s="94"/>
      <c r="D32" s="94"/>
      <c r="E32" s="94"/>
      <c r="F32" s="95"/>
      <c r="G32" s="1"/>
    </row>
    <row r="33" spans="1:7" x14ac:dyDescent="0.25">
      <c r="A33" s="1"/>
      <c r="B33" s="50" t="s">
        <v>25</v>
      </c>
      <c r="C33" s="50" t="s">
        <v>16</v>
      </c>
      <c r="D33" s="51"/>
      <c r="E33" s="50" t="s">
        <v>48</v>
      </c>
      <c r="F33" s="39"/>
      <c r="G33" s="1"/>
    </row>
    <row r="34" spans="1:7" x14ac:dyDescent="0.25">
      <c r="A34" s="1"/>
      <c r="B34" s="27" t="s">
        <v>263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aosQJ6uihuo7WWyihmI6HwBCag+AjLCwQmw2AFm05bM5jPCulkmr/34UpKZql8J9WqA8xpzDXFEEVbZ8fufI+w==" saltValue="A4eutWB4Hbgm7/8qimfpB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227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83"/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160</v>
      </c>
      <c r="C8" s="94"/>
      <c r="D8" s="94"/>
      <c r="E8" s="94"/>
      <c r="F8" s="95"/>
      <c r="G8" s="1"/>
    </row>
    <row r="9" spans="1:7" x14ac:dyDescent="0.25">
      <c r="A9" s="1"/>
      <c r="B9" s="110" t="s">
        <v>159</v>
      </c>
      <c r="C9" s="111"/>
      <c r="D9" s="112"/>
      <c r="E9" s="9">
        <v>2628182.9022633415</v>
      </c>
      <c r="F9" s="14" t="s">
        <v>3</v>
      </c>
      <c r="G9" s="1"/>
    </row>
    <row r="10" spans="1:7" x14ac:dyDescent="0.25">
      <c r="A10" s="1"/>
      <c r="B10" s="84" t="s">
        <v>10</v>
      </c>
      <c r="C10" s="85"/>
      <c r="D10" s="86"/>
      <c r="E10" s="9">
        <f>-E9*'Fane 5. Individuelt eff. krav'!G11</f>
        <v>-21477.824600484106</v>
      </c>
      <c r="F10" s="14" t="s">
        <v>3</v>
      </c>
      <c r="G10" s="1"/>
    </row>
    <row r="11" spans="1:7" x14ac:dyDescent="0.25">
      <c r="A11" s="1"/>
      <c r="B11" s="84" t="s">
        <v>39</v>
      </c>
      <c r="C11" s="85"/>
      <c r="D11" s="86"/>
      <c r="E11" s="9">
        <f>-E9*'Fane 15. Nøgletal'!C25</f>
        <v>-52563.658045266828</v>
      </c>
      <c r="F11" s="14" t="s">
        <v>3</v>
      </c>
      <c r="G11" s="1"/>
    </row>
    <row r="12" spans="1:7" x14ac:dyDescent="0.25">
      <c r="A12" s="1"/>
      <c r="B12" s="93" t="s">
        <v>164</v>
      </c>
      <c r="C12" s="94"/>
      <c r="D12" s="95"/>
      <c r="E12" s="12">
        <f>SUM(E9:E11)*(1+'Fane 15. Nøgletal'!C12)^2</f>
        <v>2655765.828294063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161</v>
      </c>
      <c r="C14" s="94"/>
      <c r="D14" s="94"/>
      <c r="E14" s="94"/>
      <c r="F14" s="95"/>
      <c r="G14" s="1"/>
    </row>
    <row r="15" spans="1:7" x14ac:dyDescent="0.25">
      <c r="A15" s="1"/>
      <c r="B15" s="110" t="s">
        <v>159</v>
      </c>
      <c r="C15" s="111"/>
      <c r="D15" s="112"/>
      <c r="E15" s="9">
        <v>2535375.2003161195</v>
      </c>
      <c r="F15" s="14" t="s">
        <v>3</v>
      </c>
      <c r="G15" s="1"/>
    </row>
    <row r="16" spans="1:7" x14ac:dyDescent="0.25">
      <c r="A16" s="1"/>
      <c r="B16" s="84" t="s">
        <v>10</v>
      </c>
      <c r="C16" s="85"/>
      <c r="D16" s="86"/>
      <c r="E16" s="9">
        <f>-E15*'Fane 5. Individuelt eff. krav'!G11</f>
        <v>-20719.388974759637</v>
      </c>
      <c r="F16" s="14" t="s">
        <v>3</v>
      </c>
      <c r="G16" s="1"/>
    </row>
    <row r="17" spans="1:7" x14ac:dyDescent="0.25">
      <c r="A17" s="1"/>
      <c r="B17" s="84" t="s">
        <v>39</v>
      </c>
      <c r="C17" s="85"/>
      <c r="D17" s="86"/>
      <c r="E17" s="9">
        <f>-E15*'Fane 15. Nøgletal'!C25</f>
        <v>-50707.504006322393</v>
      </c>
      <c r="F17" s="14" t="s">
        <v>3</v>
      </c>
      <c r="G17" s="1"/>
    </row>
    <row r="18" spans="1:7" x14ac:dyDescent="0.25">
      <c r="A18" s="1"/>
      <c r="B18" s="93" t="s">
        <v>165</v>
      </c>
      <c r="C18" s="94"/>
      <c r="D18" s="95"/>
      <c r="E18" s="12">
        <f>SUM(E15:E17)*(1+'Fane 15. Nøgletal'!C12)^3</f>
        <v>2612455.1911981814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162</v>
      </c>
      <c r="C20" s="94"/>
      <c r="D20" s="94"/>
      <c r="E20" s="94"/>
      <c r="F20" s="95"/>
      <c r="G20" s="1"/>
    </row>
    <row r="21" spans="1:7" x14ac:dyDescent="0.25">
      <c r="A21" s="1"/>
      <c r="B21" s="110" t="s">
        <v>159</v>
      </c>
      <c r="C21" s="111"/>
      <c r="D21" s="112"/>
      <c r="E21" s="9">
        <v>2278896.2771051852</v>
      </c>
      <c r="F21" s="14" t="s">
        <v>3</v>
      </c>
      <c r="G21" s="1"/>
    </row>
    <row r="22" spans="1:7" x14ac:dyDescent="0.25">
      <c r="A22" s="1"/>
      <c r="B22" s="84" t="s">
        <v>10</v>
      </c>
      <c r="C22" s="85"/>
      <c r="D22" s="86"/>
      <c r="E22" s="9">
        <f>-E21*'Fane 5. Individuelt eff. krav'!G11</f>
        <v>-18623.412579166481</v>
      </c>
      <c r="F22" s="14" t="s">
        <v>3</v>
      </c>
      <c r="G22" s="1"/>
    </row>
    <row r="23" spans="1:7" x14ac:dyDescent="0.25">
      <c r="A23" s="1"/>
      <c r="B23" s="84" t="s">
        <v>39</v>
      </c>
      <c r="C23" s="85"/>
      <c r="D23" s="86"/>
      <c r="E23" s="9">
        <f>-E21*'Fane 15. Nøgletal'!C25</f>
        <v>-45577.925542103701</v>
      </c>
      <c r="F23" s="14" t="s">
        <v>3</v>
      </c>
      <c r="G23" s="1"/>
    </row>
    <row r="24" spans="1:7" x14ac:dyDescent="0.25">
      <c r="A24" s="1"/>
      <c r="B24" s="93" t="s">
        <v>166</v>
      </c>
      <c r="C24" s="94"/>
      <c r="D24" s="95"/>
      <c r="E24" s="12">
        <f>SUM(E21:E23)*(1+'Fane 15. Nøgletal'!C12)^4</f>
        <v>2394437.9681683555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163</v>
      </c>
      <c r="C26" s="94"/>
      <c r="D26" s="94"/>
      <c r="E26" s="94"/>
      <c r="F26" s="95"/>
      <c r="G26" s="1"/>
    </row>
    <row r="27" spans="1:7" x14ac:dyDescent="0.25">
      <c r="A27" s="1"/>
      <c r="B27" s="110" t="s">
        <v>159</v>
      </c>
      <c r="C27" s="111"/>
      <c r="D27" s="112"/>
      <c r="E27" s="9">
        <v>2207355.8634516061</v>
      </c>
      <c r="F27" s="14" t="s">
        <v>3</v>
      </c>
      <c r="G27" s="1"/>
    </row>
    <row r="28" spans="1:7" x14ac:dyDescent="0.25">
      <c r="A28" s="1"/>
      <c r="B28" s="84" t="s">
        <v>10</v>
      </c>
      <c r="C28" s="85"/>
      <c r="D28" s="86"/>
      <c r="E28" s="9">
        <f>-E27*'Fane 5. Individuelt eff. krav'!G11</f>
        <v>-18038.775773647958</v>
      </c>
      <c r="F28" s="14" t="s">
        <v>3</v>
      </c>
      <c r="G28" s="1"/>
    </row>
    <row r="29" spans="1:7" x14ac:dyDescent="0.25">
      <c r="A29" s="1"/>
      <c r="B29" s="84" t="s">
        <v>39</v>
      </c>
      <c r="C29" s="85"/>
      <c r="D29" s="86"/>
      <c r="E29" s="9">
        <f>-E27*'Fane 15. Nøgletal'!C25</f>
        <v>-44147.117269032125</v>
      </c>
      <c r="F29" s="14" t="s">
        <v>3</v>
      </c>
      <c r="G29" s="1"/>
    </row>
    <row r="30" spans="1:7" x14ac:dyDescent="0.25">
      <c r="A30" s="1"/>
      <c r="B30" s="93" t="s">
        <v>167</v>
      </c>
      <c r="C30" s="94"/>
      <c r="D30" s="95"/>
      <c r="E30" s="12">
        <f>SUM(E27:E29)*(1+'Fane 15. Nøgletal'!C12)^5</f>
        <v>2364960.0307045258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cI+rkD2UH/pZ0qYMKijwssjEKgZ0L6kQUuHax2Ujm3+URReU/76qiEHBCU6BrGFCyYvEXs+Fmg+jr1AbOsYm5g==" saltValue="6dLDR5Z99DnAO1O/6a8tOQ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223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32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herIX5+lCRLJZmAfixToN/BXISLdBCEUWlRu/GndWHtglI/f3PE2t5a+U9Uj4Ph+PrGmIeY7ffdG9ew9987DVw==" saltValue="ZvySOBCaj9l1fduG0umrk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222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169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170</v>
      </c>
      <c r="C14" s="94"/>
      <c r="D14" s="94"/>
      <c r="E14" s="94"/>
      <c r="F14" s="95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168</v>
      </c>
      <c r="C20" s="94"/>
      <c r="D20" s="94"/>
      <c r="E20" s="94"/>
      <c r="F20" s="95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171</v>
      </c>
      <c r="C26" s="94"/>
      <c r="D26" s="94"/>
      <c r="E26" s="94"/>
      <c r="F26" s="95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Ri6r9VrwFwH3v5NHpqsC+cBJ9q/aJdtLur2iFzlBR1Hm0KqehoEn2gNI2fOYoHEginAyNwGLVIOxOF6cqKilDg==" saltValue="gByXZT7M++cjgbb8p8ZaT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221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12</v>
      </c>
      <c r="C9" s="97"/>
      <c r="D9" s="97"/>
      <c r="E9" s="97"/>
      <c r="F9" s="98"/>
      <c r="G9" s="9">
        <v>11568967</v>
      </c>
      <c r="H9" s="14" t="s">
        <v>3</v>
      </c>
      <c r="I9" s="1"/>
    </row>
    <row r="10" spans="1:9" x14ac:dyDescent="0.25">
      <c r="A10" s="1"/>
      <c r="B10" s="96" t="s">
        <v>137</v>
      </c>
      <c r="C10" s="97"/>
      <c r="D10" s="97"/>
      <c r="E10" s="97"/>
      <c r="F10" s="98"/>
      <c r="G10" s="9">
        <v>0</v>
      </c>
      <c r="H10" s="14" t="s">
        <v>3</v>
      </c>
      <c r="I10" s="1"/>
    </row>
    <row r="11" spans="1:9" x14ac:dyDescent="0.25">
      <c r="A11" s="1"/>
      <c r="B11" s="96" t="s">
        <v>77</v>
      </c>
      <c r="C11" s="97"/>
      <c r="D11" s="97"/>
      <c r="E11" s="97"/>
      <c r="F11" s="98"/>
      <c r="G11" s="9">
        <v>-11568967</v>
      </c>
      <c r="H11" s="14" t="s">
        <v>3</v>
      </c>
      <c r="I11" s="1"/>
    </row>
    <row r="12" spans="1:9" x14ac:dyDescent="0.25">
      <c r="A12" s="1"/>
      <c r="B12" s="113" t="s">
        <v>15</v>
      </c>
      <c r="C12" s="114"/>
      <c r="D12" s="114"/>
      <c r="E12" s="114"/>
      <c r="F12" s="115"/>
      <c r="G12" s="19">
        <f>(G9+G10)+G11</f>
        <v>0</v>
      </c>
      <c r="H12" s="18" t="s">
        <v>3</v>
      </c>
      <c r="I12" s="1"/>
    </row>
    <row r="13" spans="1:9" x14ac:dyDescent="0.25">
      <c r="A13" s="1"/>
      <c r="B13" s="96" t="s">
        <v>13</v>
      </c>
      <c r="C13" s="97"/>
      <c r="D13" s="97"/>
      <c r="E13" s="97"/>
      <c r="F13" s="98"/>
      <c r="G13" s="9">
        <v>0</v>
      </c>
      <c r="H13" s="14" t="s">
        <v>28</v>
      </c>
      <c r="I13" s="1"/>
    </row>
    <row r="14" spans="1:9" x14ac:dyDescent="0.25">
      <c r="A14" s="1"/>
      <c r="B14" s="93" t="s">
        <v>138</v>
      </c>
      <c r="C14" s="94"/>
      <c r="D14" s="94"/>
      <c r="E14" s="94"/>
      <c r="F14" s="95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NE2waFK5ANkvNLVZW0Lgqz2BcLCafv/vEePgBZOohCSgT9Sb5GVHQUd0HdxGt8SPgzyJjkJj7cTBU7ZsB+X4jw==" saltValue="DteRZIgD7GGY7giXx9P9L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62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73756935.950321108</v>
      </c>
      <c r="D9" s="8" t="s">
        <v>3</v>
      </c>
      <c r="E9" s="1"/>
    </row>
    <row r="10" spans="1:5" ht="17.100000000000001" customHeight="1" x14ac:dyDescent="0.25">
      <c r="A10" s="1"/>
      <c r="B10" s="53" t="s">
        <v>64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53" t="s">
        <v>65</v>
      </c>
      <c r="C11" s="9">
        <f>'Fane 10.1. Varige tillæg'!E12</f>
        <v>1766226.897468</v>
      </c>
      <c r="D11" s="8" t="s">
        <v>3</v>
      </c>
      <c r="E11" s="1"/>
    </row>
    <row r="12" spans="1:5" ht="17.100000000000001" customHeight="1" x14ac:dyDescent="0.25">
      <c r="A12" s="1"/>
      <c r="B12" s="53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3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3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3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3" t="s">
        <v>27</v>
      </c>
      <c r="C16" s="9">
        <f>SUM(C9:C15)*'Fane 15. Nøgletal'!C12</f>
        <v>1487806.3081014454</v>
      </c>
      <c r="D16" s="8" t="s">
        <v>3</v>
      </c>
      <c r="E16" s="1"/>
    </row>
    <row r="17" spans="1:5" ht="17.100000000000001" customHeight="1" x14ac:dyDescent="0.25">
      <c r="A17" s="1"/>
      <c r="B17" s="53" t="s">
        <v>10</v>
      </c>
      <c r="C17" s="9">
        <f>-SUM(C9:C16)*'Fane 5. Individuelt eff. krav'!G11</f>
        <v>-629342.83851367084</v>
      </c>
      <c r="D17" s="8" t="s">
        <v>3</v>
      </c>
      <c r="E17" s="1"/>
    </row>
    <row r="18" spans="1:5" ht="17.100000000000001" customHeight="1" x14ac:dyDescent="0.25">
      <c r="A18" s="1"/>
      <c r="B18" s="53" t="s">
        <v>39</v>
      </c>
      <c r="C18" s="9">
        <f>-'Fane 4.1. Gen. krav - drift'!G28</f>
        <v>-340849.95989055949</v>
      </c>
      <c r="D18" s="8" t="s">
        <v>3</v>
      </c>
      <c r="E18" s="1"/>
    </row>
    <row r="19" spans="1:5" ht="17.100000000000001" customHeight="1" x14ac:dyDescent="0.25">
      <c r="A19" s="1"/>
      <c r="B19" s="53" t="s">
        <v>40</v>
      </c>
      <c r="C19" s="9">
        <f>-'Fane 4.2. Gen. krav - anlæg'!G25</f>
        <v>-1722181.3735797328</v>
      </c>
      <c r="D19" s="8" t="s">
        <v>3</v>
      </c>
      <c r="E19" s="1"/>
    </row>
    <row r="20" spans="1:5" ht="17.100000000000001" customHeight="1" x14ac:dyDescent="0.25">
      <c r="A20" s="1"/>
      <c r="B20" s="47" t="s">
        <v>29</v>
      </c>
      <c r="C20" s="10">
        <f>SUM(C9:C19)</f>
        <v>74318594.983906597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omk.'!C15+'Fane 6. Ikke-påvirkelige omk.'!C19+'Fane 6. Ikke-påvirkelige omk.'!C27</f>
        <v>18213415.180903662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7" t="s">
        <v>145</v>
      </c>
      <c r="C24" s="10">
        <f>'Fane 11. Periodevise driftsomk.'!E12</f>
        <v>2655765.828294063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3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3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7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-2900819.8803723603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-1050290.890032918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91236665.222699046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bmq2KXDYMlw0W2paw1Wls7VqRTXnPqjBFqqV1WeOhVXic1OkDvLuhrvXKQOEMQh5dDQZ8uCA9OsuIOj7MgpLCQ==" saltValue="PiUqMljJjY0OnkGgIXbie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3" t="s">
        <v>248</v>
      </c>
      <c r="C3" s="83"/>
      <c r="D3" s="1"/>
    </row>
    <row r="4" spans="1:4" ht="25.5" customHeight="1" x14ac:dyDescent="0.25">
      <c r="A4" s="1"/>
      <c r="B4" s="83"/>
      <c r="C4" s="8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4" t="s">
        <v>228</v>
      </c>
      <c r="C9" s="28">
        <v>1.2699999999999999E-2</v>
      </c>
      <c r="D9" s="1"/>
    </row>
    <row r="10" spans="1:4" x14ac:dyDescent="0.25">
      <c r="A10" s="1"/>
      <c r="B10" s="54" t="s">
        <v>229</v>
      </c>
      <c r="C10" s="28">
        <v>1.7500000000000002E-2</v>
      </c>
      <c r="D10" s="1"/>
    </row>
    <row r="11" spans="1:4" x14ac:dyDescent="0.25">
      <c r="A11" s="1"/>
      <c r="B11" s="54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4" t="s">
        <v>231</v>
      </c>
      <c r="C17" s="25">
        <v>9.1000000000000004E-3</v>
      </c>
      <c r="D17" s="1"/>
    </row>
    <row r="18" spans="1:4" x14ac:dyDescent="0.25">
      <c r="A18" s="1"/>
      <c r="B18" s="54" t="s">
        <v>232</v>
      </c>
      <c r="C18" s="25">
        <v>1.77E-2</v>
      </c>
      <c r="D18" s="1"/>
    </row>
    <row r="19" spans="1:4" x14ac:dyDescent="0.25">
      <c r="A19" s="1"/>
      <c r="B19" s="54" t="s">
        <v>233</v>
      </c>
      <c r="C19" s="25">
        <v>8.6999999999999994E-3</v>
      </c>
      <c r="D19" s="1"/>
    </row>
    <row r="20" spans="1:4" x14ac:dyDescent="0.25">
      <c r="A20" s="1"/>
      <c r="B20" s="54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4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GFIE0/HfproHspFMANbMNtk/hMhOPs/P4+l4R5h8pDcPd2K2nu9VepsxgZHx9IoSHz44Q/3t0a+RMTUPj1GdJg==" saltValue="a9LBSHNHh3vX6r+1mkaYo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82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74318594.983906597</v>
      </c>
      <c r="D9" s="8" t="s">
        <v>3</v>
      </c>
      <c r="E9" s="1"/>
    </row>
    <row r="10" spans="1:5" ht="15" customHeight="1" x14ac:dyDescent="0.25">
      <c r="A10" s="1"/>
      <c r="B10" s="53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3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1464076.3211829599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-619305.04176294373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-340613.4100183954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-1706234.8695946988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73116517.983713523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Nøgletal'!C12)+'Fane 6. Ikke-påvirkelige omk.'!C20+'Fane 6. Ikke-påvirkelige omk.'!C28</f>
        <v>18552552.772667464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7" t="s">
        <v>146</v>
      </c>
      <c r="C20" s="10">
        <f>'Fane 11. Periodevise driftsomk.'!E18</f>
        <v>2612455.1911981814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3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3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7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-2900819.8803723603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91380706.067206815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4H9rzDtYCHzFJUouw4NLGxfFnwtII6g+oOxBXAQTaK1akZiffGq/gEa5+e2orRFGYltt6kH5Fz2i13BNXeX2IA==" saltValue="SH1JZP4GqBTojpjTpKtg3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246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6"/>
      <c r="C6" s="46"/>
      <c r="D6" s="46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73116517.983713523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1440395.4042791564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-609288.00165382901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-340377.02431184263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-1690436.0219443841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71916812.340082616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Nøgletal'!C12)^2+'Fane 6. Ikke-påvirkelige omk.'!C21+'Fane 6. Ikke-påvirkelige omk.'!C29</f>
        <v>18898371.374989014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7" t="s">
        <v>146</v>
      </c>
      <c r="C20" s="10">
        <f>'Fane 11. Periodevise driftsomk.'!E24</f>
        <v>2394437.9681683555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3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3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7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93209621.683239996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UctcBfNepTr6ynB89LzixwtAXbppHCBSWbloggEhUJugJlzf198BkgL3yUJrqRe/pTl221LGO62Qvls4xSMP2w==" saltValue="vcTr7Zn8dfdvZsPke5j8f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247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6"/>
      <c r="C6" s="46"/>
      <c r="D6" s="46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71916812.340082616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1416761.2030996275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-599290.7223202656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-340140.80265697028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-1674783.4634079107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70719358.554797113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Nøgletal'!C12)^3+'Fane 6. Ikke-påvirkelige omk.'!C22+'Fane 6. Ikke-påvirkelige omk.'!C30</f>
        <v>19251002.603776298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7" t="s">
        <v>146</v>
      </c>
      <c r="C20" s="10">
        <f>'Fane 11. Periodevise driftsomk.'!E30</f>
        <v>2364960.0307045258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3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3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7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92335321.189277947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gmIfbhSi2LVpcBgMNhQzaX5AZs7SYsJgCezI6cwFrIVZpnia21XC93QVo97dwKujeWXjs5Y0DJVFpZAdaNcnZw==" saltValue="G/o7BsATVYNICV4fknNlb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243</v>
      </c>
      <c r="C3" s="83"/>
      <c r="D3" s="83"/>
      <c r="E3" s="83"/>
      <c r="F3" s="83"/>
      <c r="G3" s="1"/>
    </row>
    <row r="4" spans="1:7" ht="29.2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0" t="s">
        <v>79</v>
      </c>
      <c r="C9" s="81"/>
      <c r="D9" s="82"/>
      <c r="E9" s="7">
        <v>73845463.355903834</v>
      </c>
      <c r="F9" s="8" t="s">
        <v>3</v>
      </c>
      <c r="G9" s="1"/>
    </row>
    <row r="10" spans="1:7" ht="15" customHeight="1" x14ac:dyDescent="0.25">
      <c r="A10" s="1"/>
      <c r="B10" s="84" t="s">
        <v>64</v>
      </c>
      <c r="C10" s="85"/>
      <c r="D10" s="86"/>
      <c r="E10" s="7">
        <v>0</v>
      </c>
      <c r="F10" s="8" t="s">
        <v>3</v>
      </c>
      <c r="G10" s="1"/>
    </row>
    <row r="11" spans="1:7" ht="15" customHeight="1" x14ac:dyDescent="0.25">
      <c r="A11" s="1"/>
      <c r="B11" s="84" t="s">
        <v>65</v>
      </c>
      <c r="C11" s="85"/>
      <c r="D11" s="86"/>
      <c r="E11" s="9">
        <v>0</v>
      </c>
      <c r="F11" s="8" t="s">
        <v>3</v>
      </c>
      <c r="G11" s="1"/>
    </row>
    <row r="12" spans="1:7" ht="15" customHeight="1" x14ac:dyDescent="0.25">
      <c r="A12" s="1"/>
      <c r="B12" s="84" t="s">
        <v>42</v>
      </c>
      <c r="C12" s="85"/>
      <c r="D12" s="86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41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44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43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27</v>
      </c>
      <c r="C16" s="81"/>
      <c r="D16" s="82"/>
      <c r="E16" s="9">
        <f>E9*'Fane 15. Nøgletal'!C10+SUM(E10:E15)*'Fane 15. Nøgletal'!C11</f>
        <v>1292295.6087283173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krav'!G10</f>
        <v>0</v>
      </c>
      <c r="F17" s="8" t="s">
        <v>3</v>
      </c>
      <c r="G17" s="1"/>
    </row>
    <row r="18" spans="1:7" ht="15" customHeight="1" x14ac:dyDescent="0.25">
      <c r="A18" s="1"/>
      <c r="B18" s="80" t="s">
        <v>39</v>
      </c>
      <c r="C18" s="81"/>
      <c r="D18" s="82"/>
      <c r="E18" s="9">
        <f>-'Fane 4.1. Gen. krav - drift'!G22</f>
        <v>-341086.67404234485</v>
      </c>
      <c r="F18" s="8" t="s">
        <v>3</v>
      </c>
      <c r="G18" s="1"/>
    </row>
    <row r="19" spans="1:7" ht="15" customHeight="1" x14ac:dyDescent="0.25">
      <c r="A19" s="1"/>
      <c r="B19" s="80" t="s">
        <v>40</v>
      </c>
      <c r="C19" s="81"/>
      <c r="D19" s="82"/>
      <c r="E19" s="9">
        <f>-'Fane 4.2. Gen. krav - anlæg'!G19</f>
        <v>-1039736.3402686942</v>
      </c>
      <c r="F19" s="8" t="s">
        <v>3</v>
      </c>
      <c r="G19" s="1"/>
    </row>
    <row r="20" spans="1:7" ht="15" customHeight="1" x14ac:dyDescent="0.25">
      <c r="A20" s="1"/>
      <c r="B20" s="47" t="s">
        <v>29</v>
      </c>
      <c r="C20" s="48"/>
      <c r="D20" s="49"/>
      <c r="E20" s="10">
        <f>SUM(E9:E19)</f>
        <v>73756935.950321108</v>
      </c>
      <c r="F20" s="11" t="s">
        <v>3</v>
      </c>
      <c r="G20" s="1"/>
    </row>
    <row r="21" spans="1:7" ht="15" customHeight="1" x14ac:dyDescent="0.25">
      <c r="A21" s="1"/>
      <c r="B21" s="93" t="s">
        <v>145</v>
      </c>
      <c r="C21" s="94"/>
      <c r="D21" s="94"/>
      <c r="E21" s="94"/>
      <c r="F21" s="95"/>
      <c r="G21" s="1"/>
    </row>
    <row r="22" spans="1:7" ht="15" customHeight="1" x14ac:dyDescent="0.25">
      <c r="A22" s="1"/>
      <c r="B22" s="80" t="s">
        <v>239</v>
      </c>
      <c r="C22" s="81"/>
      <c r="D22" s="82"/>
      <c r="E22" s="44">
        <v>2917305.7925</v>
      </c>
      <c r="F22" s="8" t="s">
        <v>3</v>
      </c>
      <c r="G22" s="1"/>
    </row>
    <row r="23" spans="1:7" ht="15" customHeight="1" x14ac:dyDescent="0.25">
      <c r="A23" s="1"/>
      <c r="B23" s="80" t="s">
        <v>238</v>
      </c>
      <c r="C23" s="81"/>
      <c r="D23" s="82"/>
      <c r="E23" s="44">
        <f>-E22*('Fane 15. Nøgletal'!C25+'Fane 5. Individuelt eff. krav'!G10)</f>
        <v>-58346.115850000002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2858959.6766499998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28855162.704285514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1714297.2514821256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0</v>
      </c>
      <c r="F30" s="11" t="s">
        <v>3</v>
      </c>
      <c r="G30" s="1"/>
    </row>
    <row r="31" spans="1:7" x14ac:dyDescent="0.25">
      <c r="A31" s="1"/>
      <c r="B31" s="93" t="s">
        <v>24</v>
      </c>
      <c r="C31" s="94"/>
      <c r="D31" s="95"/>
      <c r="E31" s="12">
        <f>SUM(E30,E28,E26,E20,E24)</f>
        <v>107185355.58273874</v>
      </c>
      <c r="F31" s="13" t="s">
        <v>3</v>
      </c>
      <c r="G31" s="1"/>
    </row>
    <row r="32" spans="1:7" ht="27" customHeight="1" x14ac:dyDescent="0.25">
      <c r="A32" s="1"/>
      <c r="B32" s="80" t="s">
        <v>208</v>
      </c>
      <c r="C32" s="81"/>
      <c r="D32" s="81"/>
      <c r="E32" s="81"/>
      <c r="F32" s="8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7Sgzqiz1exCzAye53vW9haVEvw8+fJoCSMv2Q9WsUEvxtY0nb5nFDwqIRbeuQab3Fd9/wikZL6EekfBGTIyVxA==" saltValue="rbAe2EhEl1B6cp/IVCx4SQ==" spinCount="100000" sheet="1" objects="1" scenarios="1"/>
  <mergeCells count="21">
    <mergeCell ref="B22:D22"/>
    <mergeCell ref="B23:D23"/>
    <mergeCell ref="B21:F21"/>
    <mergeCell ref="B24:D24"/>
    <mergeCell ref="B30:D30"/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8" t="s">
        <v>218</v>
      </c>
      <c r="C2" s="78"/>
      <c r="D2" s="78"/>
      <c r="E2" s="78"/>
      <c r="F2" s="78"/>
      <c r="G2" s="78"/>
      <c r="H2" s="78"/>
      <c r="I2" s="1"/>
    </row>
    <row r="3" spans="1:9" ht="15" customHeight="1" x14ac:dyDescent="0.25">
      <c r="A3" s="1"/>
      <c r="B3" s="78"/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93" t="s">
        <v>94</v>
      </c>
      <c r="C5" s="94"/>
      <c r="D5" s="94"/>
      <c r="E5" s="94"/>
      <c r="F5" s="94"/>
      <c r="G5" s="94"/>
      <c r="H5" s="95"/>
      <c r="I5" s="1"/>
    </row>
    <row r="6" spans="1:9" x14ac:dyDescent="0.25">
      <c r="A6" s="1"/>
      <c r="B6" s="96" t="s">
        <v>83</v>
      </c>
      <c r="C6" s="97"/>
      <c r="D6" s="97"/>
      <c r="E6" s="97"/>
      <c r="F6" s="98"/>
      <c r="G6" s="26">
        <v>17309332</v>
      </c>
      <c r="H6" s="14" t="s">
        <v>3</v>
      </c>
      <c r="I6" s="1"/>
    </row>
    <row r="7" spans="1:9" x14ac:dyDescent="0.25">
      <c r="A7" s="1"/>
      <c r="B7" s="80" t="s">
        <v>242</v>
      </c>
      <c r="C7" s="81"/>
      <c r="D7" s="81"/>
      <c r="E7" s="81"/>
      <c r="F7" s="82"/>
      <c r="G7" s="26">
        <v>3980608</v>
      </c>
      <c r="H7" s="14" t="s">
        <v>3</v>
      </c>
      <c r="I7" s="1"/>
    </row>
    <row r="8" spans="1:9" x14ac:dyDescent="0.25">
      <c r="A8" s="1"/>
      <c r="B8" s="96" t="s">
        <v>84</v>
      </c>
      <c r="C8" s="97"/>
      <c r="D8" s="97"/>
      <c r="E8" s="97"/>
      <c r="F8" s="98"/>
      <c r="G8" s="26">
        <f>SUM(G6:G7)*'Fane 15. Nøgletal'!C25</f>
        <v>425798.8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3" t="s">
        <v>95</v>
      </c>
      <c r="C11" s="94"/>
      <c r="D11" s="94"/>
      <c r="E11" s="94"/>
      <c r="F11" s="94"/>
      <c r="G11" s="94"/>
      <c r="H11" s="95"/>
      <c r="I11" s="1"/>
    </row>
    <row r="12" spans="1:9" x14ac:dyDescent="0.25">
      <c r="A12" s="1"/>
      <c r="B12" s="96" t="s">
        <v>85</v>
      </c>
      <c r="C12" s="97"/>
      <c r="D12" s="97"/>
      <c r="E12" s="97"/>
      <c r="F12" s="98"/>
      <c r="G12" s="26">
        <f>(G6-G8)*(1+'Fane 15. Nøgletal'!C10)</f>
        <v>17178995.030999999</v>
      </c>
      <c r="H12" s="14" t="s">
        <v>3</v>
      </c>
      <c r="I12" s="1"/>
    </row>
    <row r="13" spans="1:9" x14ac:dyDescent="0.25">
      <c r="A13" s="1"/>
      <c r="B13" s="96" t="s">
        <v>244</v>
      </c>
      <c r="C13" s="97"/>
      <c r="D13" s="97"/>
      <c r="E13" s="97"/>
      <c r="F13" s="98"/>
      <c r="G13" s="26">
        <v>-6123.536860461506</v>
      </c>
      <c r="H13" s="14" t="s">
        <v>3</v>
      </c>
      <c r="I13" s="1"/>
    </row>
    <row r="14" spans="1:9" ht="15" customHeight="1" x14ac:dyDescent="0.25">
      <c r="A14" s="1"/>
      <c r="B14" s="80" t="s">
        <v>237</v>
      </c>
      <c r="C14" s="81"/>
      <c r="D14" s="81"/>
      <c r="E14" s="81"/>
      <c r="F14" s="82"/>
      <c r="G14" s="26">
        <v>3419907.04</v>
      </c>
      <c r="H14" s="14" t="s">
        <v>3</v>
      </c>
      <c r="I14" s="1"/>
    </row>
    <row r="15" spans="1:9" x14ac:dyDescent="0.25">
      <c r="A15" s="1"/>
      <c r="B15" s="99" t="s">
        <v>86</v>
      </c>
      <c r="C15" s="100"/>
      <c r="D15" s="100"/>
      <c r="E15" s="100"/>
      <c r="F15" s="101"/>
      <c r="G15" s="26">
        <v>0</v>
      </c>
      <c r="H15" s="14" t="s">
        <v>3</v>
      </c>
      <c r="I15" s="1"/>
    </row>
    <row r="16" spans="1:9" x14ac:dyDescent="0.25">
      <c r="A16" s="1"/>
      <c r="B16" s="96" t="s">
        <v>87</v>
      </c>
      <c r="C16" s="97"/>
      <c r="D16" s="97"/>
      <c r="E16" s="97"/>
      <c r="F16" s="98"/>
      <c r="G16" s="26">
        <f>SUM(G12:G15)*'Fane 15. Nøgletal'!C25</f>
        <v>411855.57068279071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3" t="s">
        <v>96</v>
      </c>
      <c r="C19" s="94"/>
      <c r="D19" s="94"/>
      <c r="E19" s="94"/>
      <c r="F19" s="94"/>
      <c r="G19" s="94"/>
      <c r="H19" s="95"/>
      <c r="I19" s="1"/>
    </row>
    <row r="20" spans="1:9" x14ac:dyDescent="0.25">
      <c r="A20" s="1"/>
      <c r="B20" s="96" t="s">
        <v>88</v>
      </c>
      <c r="C20" s="97"/>
      <c r="D20" s="97"/>
      <c r="E20" s="97"/>
      <c r="F20" s="98"/>
      <c r="G20" s="26">
        <f>(SUM(G12:G13,G15)-(G16))*(1+'Fane 15. Nøgletal'!C10)</f>
        <v>17054333.702117242</v>
      </c>
      <c r="H20" s="14" t="s">
        <v>3</v>
      </c>
      <c r="I20" s="1"/>
    </row>
    <row r="21" spans="1:9" x14ac:dyDescent="0.25">
      <c r="A21" s="1"/>
      <c r="B21" s="99" t="s">
        <v>89</v>
      </c>
      <c r="C21" s="100"/>
      <c r="D21" s="100"/>
      <c r="E21" s="100"/>
      <c r="F21" s="101"/>
      <c r="G21" s="26">
        <v>0</v>
      </c>
      <c r="H21" s="14" t="s">
        <v>3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26">
        <f>SUM(G20:G21)*'Fane 15. Nøgletal'!C25</f>
        <v>341086.67404234485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3" t="s">
        <v>97</v>
      </c>
      <c r="C25" s="94"/>
      <c r="D25" s="94"/>
      <c r="E25" s="94"/>
      <c r="F25" s="94"/>
      <c r="G25" s="94"/>
      <c r="H25" s="95"/>
      <c r="I25" s="1"/>
    </row>
    <row r="26" spans="1:9" x14ac:dyDescent="0.25">
      <c r="A26" s="1"/>
      <c r="B26" s="96" t="s">
        <v>91</v>
      </c>
      <c r="C26" s="97"/>
      <c r="D26" s="97"/>
      <c r="E26" s="97"/>
      <c r="F26" s="98"/>
      <c r="G26" s="26">
        <f>(G20+G21-G22)*(1+'Fane 15. Nøgletal'!C12)</f>
        <v>17042497.994527973</v>
      </c>
      <c r="H26" s="14" t="s">
        <v>3</v>
      </c>
      <c r="I26" s="1"/>
    </row>
    <row r="27" spans="1:9" x14ac:dyDescent="0.25">
      <c r="A27" s="1"/>
      <c r="B27" s="99" t="s">
        <v>92</v>
      </c>
      <c r="C27" s="100"/>
      <c r="D27" s="100"/>
      <c r="E27" s="100"/>
      <c r="F27" s="101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6" t="s">
        <v>93</v>
      </c>
      <c r="C28" s="97"/>
      <c r="D28" s="97"/>
      <c r="E28" s="97"/>
      <c r="F28" s="98"/>
      <c r="G28" s="26">
        <f>(G26+G27)*'Fane 15. Nøgletal'!C25</f>
        <v>340849.95989055949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3" t="s">
        <v>100</v>
      </c>
      <c r="C31" s="94"/>
      <c r="D31" s="94"/>
      <c r="E31" s="94"/>
      <c r="F31" s="94"/>
      <c r="G31" s="94"/>
      <c r="H31" s="95"/>
      <c r="I31" s="1"/>
    </row>
    <row r="32" spans="1:9" x14ac:dyDescent="0.25">
      <c r="A32" s="1"/>
      <c r="B32" s="96" t="s">
        <v>101</v>
      </c>
      <c r="C32" s="97"/>
      <c r="D32" s="97"/>
      <c r="E32" s="97"/>
      <c r="F32" s="98"/>
      <c r="G32" s="26">
        <f>(G26+G27-G28)*(1+'Fane 15. Nøgletal'!C12)</f>
        <v>17030670.50091977</v>
      </c>
      <c r="H32" s="14" t="s">
        <v>3</v>
      </c>
      <c r="I32" s="1"/>
    </row>
    <row r="33" spans="1:9" x14ac:dyDescent="0.25">
      <c r="A33" s="1"/>
      <c r="B33" s="96" t="s">
        <v>149</v>
      </c>
      <c r="C33" s="97"/>
      <c r="D33" s="97"/>
      <c r="E33" s="97"/>
      <c r="F33" s="98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6" t="s">
        <v>102</v>
      </c>
      <c r="C34" s="97"/>
      <c r="D34" s="97"/>
      <c r="E34" s="97"/>
      <c r="F34" s="98"/>
      <c r="G34" s="26">
        <f>(G32+G33)*'Fane 15. Nøgletal'!C25</f>
        <v>340613.4100183954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3" t="s">
        <v>127</v>
      </c>
      <c r="C37" s="94"/>
      <c r="D37" s="94"/>
      <c r="E37" s="94"/>
      <c r="F37" s="94"/>
      <c r="G37" s="94"/>
      <c r="H37" s="95"/>
      <c r="I37" s="1"/>
    </row>
    <row r="38" spans="1:9" x14ac:dyDescent="0.25">
      <c r="A38" s="1"/>
      <c r="B38" s="96" t="s">
        <v>126</v>
      </c>
      <c r="C38" s="97"/>
      <c r="D38" s="97"/>
      <c r="E38" s="97"/>
      <c r="F38" s="98"/>
      <c r="G38" s="26">
        <f>(G32-G34)*(1+'Fane 15. Nøgletal'!C12)</f>
        <v>17018851.215592131</v>
      </c>
      <c r="H38" s="14" t="s">
        <v>3</v>
      </c>
      <c r="I38" s="1"/>
    </row>
    <row r="39" spans="1:9" x14ac:dyDescent="0.25">
      <c r="A39" s="1"/>
      <c r="B39" s="96" t="s">
        <v>150</v>
      </c>
      <c r="C39" s="97"/>
      <c r="D39" s="97"/>
      <c r="E39" s="97"/>
      <c r="F39" s="98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6" t="s">
        <v>103</v>
      </c>
      <c r="C40" s="97"/>
      <c r="D40" s="97"/>
      <c r="E40" s="97"/>
      <c r="F40" s="98"/>
      <c r="G40" s="26">
        <f>(G38+G39)*'Fane 15. Nøgletal'!C25</f>
        <v>340377.02431184263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3" t="s">
        <v>128</v>
      </c>
      <c r="C43" s="94"/>
      <c r="D43" s="94"/>
      <c r="E43" s="94"/>
      <c r="F43" s="94"/>
      <c r="G43" s="94"/>
      <c r="H43" s="95"/>
      <c r="I43" s="1"/>
    </row>
    <row r="44" spans="1:9" x14ac:dyDescent="0.25">
      <c r="A44" s="1"/>
      <c r="B44" s="96" t="s">
        <v>125</v>
      </c>
      <c r="C44" s="97"/>
      <c r="D44" s="97"/>
      <c r="E44" s="97"/>
      <c r="F44" s="98"/>
      <c r="G44" s="26">
        <f>(G38-G40)*(1+'Fane 15. Nøgletal'!C12)</f>
        <v>17007040.132848512</v>
      </c>
      <c r="H44" s="14" t="s">
        <v>3</v>
      </c>
      <c r="I44" s="1"/>
    </row>
    <row r="45" spans="1:9" x14ac:dyDescent="0.25">
      <c r="A45" s="1"/>
      <c r="B45" s="96" t="s">
        <v>151</v>
      </c>
      <c r="C45" s="97"/>
      <c r="D45" s="97"/>
      <c r="E45" s="97"/>
      <c r="F45" s="98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6" t="s">
        <v>104</v>
      </c>
      <c r="C46" s="97"/>
      <c r="D46" s="97"/>
      <c r="E46" s="97"/>
      <c r="F46" s="98"/>
      <c r="G46" s="26">
        <f>(G44+G45)*'Fane 15. Nøgletal'!C25</f>
        <v>340140.80265697028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T6shZZnPpB+teZgn3/fXPCcnR5dDaHYvvGSvSl55bCVgEJretQn1pdzBADET5E4SCm50G44ozXQDoOkDT0zd1g==" saltValue="LrestmRcuTu1QMlZxldg2w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2" t="s">
        <v>219</v>
      </c>
      <c r="C2" s="102"/>
      <c r="D2" s="102"/>
      <c r="E2" s="102"/>
      <c r="F2" s="102"/>
      <c r="G2" s="102"/>
      <c r="H2" s="102"/>
      <c r="I2" s="1"/>
    </row>
    <row r="3" spans="1:9" ht="18.75" x14ac:dyDescent="0.3">
      <c r="A3" s="1"/>
      <c r="B3" s="55"/>
      <c r="C3" s="55"/>
      <c r="D3" s="55"/>
      <c r="E3" s="55"/>
      <c r="F3" s="55"/>
      <c r="G3" s="55"/>
      <c r="H3" s="55"/>
      <c r="I3" s="1"/>
    </row>
    <row r="4" spans="1:9" x14ac:dyDescent="0.25">
      <c r="A4" s="1"/>
      <c r="B4" s="93" t="s">
        <v>98</v>
      </c>
      <c r="C4" s="94"/>
      <c r="D4" s="94"/>
      <c r="E4" s="94"/>
      <c r="F4" s="94"/>
      <c r="G4" s="94"/>
      <c r="H4" s="95"/>
      <c r="I4" s="1"/>
    </row>
    <row r="5" spans="1:9" x14ac:dyDescent="0.25">
      <c r="A5" s="1"/>
      <c r="B5" s="96" t="s">
        <v>105</v>
      </c>
      <c r="C5" s="97"/>
      <c r="D5" s="97"/>
      <c r="E5" s="97"/>
      <c r="F5" s="98"/>
      <c r="G5" s="26">
        <v>58430043</v>
      </c>
      <c r="H5" s="14" t="s">
        <v>3</v>
      </c>
      <c r="I5" s="1"/>
    </row>
    <row r="6" spans="1:9" x14ac:dyDescent="0.25">
      <c r="A6" s="1"/>
      <c r="B6" s="96" t="s">
        <v>99</v>
      </c>
      <c r="C6" s="97"/>
      <c r="D6" s="97"/>
      <c r="E6" s="97"/>
      <c r="F6" s="98"/>
      <c r="G6" s="26">
        <f>G5*'Fane 15. Nøgletal'!C17</f>
        <v>531713.39130000002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3" t="s">
        <v>106</v>
      </c>
      <c r="C9" s="94"/>
      <c r="D9" s="94"/>
      <c r="E9" s="94"/>
      <c r="F9" s="94"/>
      <c r="G9" s="94"/>
      <c r="H9" s="95"/>
      <c r="I9" s="1"/>
    </row>
    <row r="10" spans="1:9" x14ac:dyDescent="0.25">
      <c r="A10" s="1"/>
      <c r="B10" s="96" t="s">
        <v>107</v>
      </c>
      <c r="C10" s="97"/>
      <c r="D10" s="97"/>
      <c r="E10" s="97"/>
      <c r="F10" s="98"/>
      <c r="G10" s="26">
        <f>(G5-G6)*(1+'Fane 15. Nøgletal'!C10)</f>
        <v>58911550.376852252</v>
      </c>
      <c r="H10" s="14" t="s">
        <v>3</v>
      </c>
      <c r="I10" s="1"/>
    </row>
    <row r="11" spans="1:9" x14ac:dyDescent="0.25">
      <c r="A11" s="1"/>
      <c r="B11" s="96" t="s">
        <v>245</v>
      </c>
      <c r="C11" s="97"/>
      <c r="D11" s="97"/>
      <c r="E11" s="97"/>
      <c r="F11" s="98"/>
      <c r="G11" s="26">
        <v>-139425.16915224554</v>
      </c>
      <c r="H11" s="14" t="s">
        <v>3</v>
      </c>
      <c r="I11" s="1"/>
    </row>
    <row r="12" spans="1:9" x14ac:dyDescent="0.25">
      <c r="A12" s="1"/>
      <c r="B12" s="99" t="s">
        <v>108</v>
      </c>
      <c r="C12" s="100"/>
      <c r="D12" s="100"/>
      <c r="E12" s="100"/>
      <c r="F12" s="101"/>
      <c r="G12" s="26">
        <v>0</v>
      </c>
      <c r="H12" s="14" t="s">
        <v>3</v>
      </c>
      <c r="I12" s="1"/>
    </row>
    <row r="13" spans="1:9" x14ac:dyDescent="0.25">
      <c r="A13" s="1"/>
      <c r="B13" s="96" t="s">
        <v>109</v>
      </c>
      <c r="C13" s="97"/>
      <c r="D13" s="97"/>
      <c r="E13" s="97"/>
      <c r="F13" s="98"/>
      <c r="G13" s="26">
        <f>SUM(G10:G12)*'Fane 15. Nøgletal'!C18</f>
        <v>1040266.6161762901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110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6" t="s">
        <v>111</v>
      </c>
      <c r="C17" s="97"/>
      <c r="D17" s="97"/>
      <c r="E17" s="97"/>
      <c r="F17" s="98"/>
      <c r="G17" s="26">
        <f>(SUM(G10:G12)-G13)*(1+'Fane 15. Nøgletal'!C10)</f>
        <v>58742166.11687538</v>
      </c>
      <c r="H17" s="14" t="s">
        <v>3</v>
      </c>
      <c r="I17" s="1"/>
    </row>
    <row r="18" spans="1:9" x14ac:dyDescent="0.25">
      <c r="A18" s="1"/>
      <c r="B18" s="99" t="s">
        <v>112</v>
      </c>
      <c r="C18" s="100"/>
      <c r="D18" s="100"/>
      <c r="E18" s="100"/>
      <c r="F18" s="101"/>
      <c r="G18" s="26">
        <v>0</v>
      </c>
      <c r="H18" s="14" t="s">
        <v>3</v>
      </c>
      <c r="I18" s="1"/>
    </row>
    <row r="19" spans="1:9" x14ac:dyDescent="0.25">
      <c r="A19" s="1"/>
      <c r="B19" s="96" t="s">
        <v>113</v>
      </c>
      <c r="C19" s="97"/>
      <c r="D19" s="97"/>
      <c r="E19" s="97"/>
      <c r="F19" s="98"/>
      <c r="G19" s="26">
        <f>G17*'Fane 15. Nøgletal'!C18+G18*'Fane 15. Nøgletal'!C19</f>
        <v>1039736.3402686942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3" t="s">
        <v>114</v>
      </c>
      <c r="C22" s="94"/>
      <c r="D22" s="94"/>
      <c r="E22" s="94"/>
      <c r="F22" s="94"/>
      <c r="G22" s="94"/>
      <c r="H22" s="95"/>
      <c r="I22" s="1"/>
    </row>
    <row r="23" spans="1:9" x14ac:dyDescent="0.25">
      <c r="A23" s="1"/>
      <c r="B23" s="96" t="s">
        <v>115</v>
      </c>
      <c r="C23" s="97"/>
      <c r="D23" s="97"/>
      <c r="E23" s="97"/>
      <c r="F23" s="98"/>
      <c r="G23" s="26">
        <f>(G17+G18-G19)*(1+'Fane 15. Nøgletal'!C12)</f>
        <v>58839167.643205844</v>
      </c>
      <c r="H23" s="14" t="s">
        <v>3</v>
      </c>
      <c r="I23" s="1"/>
    </row>
    <row r="24" spans="1:9" x14ac:dyDescent="0.25">
      <c r="A24" s="1"/>
      <c r="B24" s="99" t="s">
        <v>116</v>
      </c>
      <c r="C24" s="100"/>
      <c r="D24" s="100"/>
      <c r="E24" s="100"/>
      <c r="F24" s="101"/>
      <c r="G24" s="26">
        <f>('Fane 2.1. Økonomisk ramme 2020'!C11+'Fane 2.1. Økonomisk ramme 2020'!C13+'Fane 2.1. Økonomisk ramme 2020'!C15)*(1+'Fane 15. Nøgletal'!C12)</f>
        <v>1801021.5673481196</v>
      </c>
      <c r="H24" s="14" t="s">
        <v>3</v>
      </c>
      <c r="I24" s="1"/>
    </row>
    <row r="25" spans="1:9" x14ac:dyDescent="0.25">
      <c r="A25" s="1"/>
      <c r="B25" s="96" t="s">
        <v>117</v>
      </c>
      <c r="C25" s="97"/>
      <c r="D25" s="97"/>
      <c r="E25" s="97"/>
      <c r="F25" s="98"/>
      <c r="G25" s="26">
        <f>(G23+G24)*'Fane 15. Nøgletal'!C20</f>
        <v>1722181.3735797328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3" t="s">
        <v>118</v>
      </c>
      <c r="C28" s="94"/>
      <c r="D28" s="94"/>
      <c r="E28" s="94"/>
      <c r="F28" s="94"/>
      <c r="G28" s="94"/>
      <c r="H28" s="95"/>
      <c r="I28" s="1"/>
    </row>
    <row r="29" spans="1:9" x14ac:dyDescent="0.25">
      <c r="A29" s="1"/>
      <c r="B29" s="96" t="s">
        <v>119</v>
      </c>
      <c r="C29" s="97"/>
      <c r="D29" s="97"/>
      <c r="E29" s="97"/>
      <c r="F29" s="98"/>
      <c r="G29" s="26">
        <f>(G23+G24-G25)*(1+'Fane 15. Nøgletal'!C12)</f>
        <v>60078692.591362625</v>
      </c>
      <c r="H29" s="14" t="s">
        <v>3</v>
      </c>
      <c r="I29" s="1"/>
    </row>
    <row r="30" spans="1:9" x14ac:dyDescent="0.25">
      <c r="A30" s="1"/>
      <c r="B30" s="96" t="s">
        <v>155</v>
      </c>
      <c r="C30" s="97"/>
      <c r="D30" s="97"/>
      <c r="E30" s="97"/>
      <c r="F30" s="98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6" t="s">
        <v>120</v>
      </c>
      <c r="C31" s="97"/>
      <c r="D31" s="97"/>
      <c r="E31" s="97"/>
      <c r="F31" s="98"/>
      <c r="G31" s="26">
        <f>(G29+G30)*'Fane 15. Nøgletal'!C20</f>
        <v>1706234.8695946988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3" t="s">
        <v>129</v>
      </c>
      <c r="C34" s="94"/>
      <c r="D34" s="94"/>
      <c r="E34" s="94"/>
      <c r="F34" s="94"/>
      <c r="G34" s="94"/>
      <c r="H34" s="95"/>
      <c r="I34" s="1"/>
    </row>
    <row r="35" spans="1:9" x14ac:dyDescent="0.25">
      <c r="A35" s="1"/>
      <c r="B35" s="96" t="s">
        <v>124</v>
      </c>
      <c r="C35" s="97"/>
      <c r="D35" s="97"/>
      <c r="E35" s="97"/>
      <c r="F35" s="98"/>
      <c r="G35" s="26">
        <f>(G29+G30-G31)*(1+'Fane 15. Nøgletal'!C12)</f>
        <v>59522395.138886757</v>
      </c>
      <c r="H35" s="14" t="s">
        <v>3</v>
      </c>
      <c r="I35" s="1"/>
    </row>
    <row r="36" spans="1:9" x14ac:dyDescent="0.25">
      <c r="A36" s="1"/>
      <c r="B36" s="96" t="s">
        <v>156</v>
      </c>
      <c r="C36" s="97"/>
      <c r="D36" s="97"/>
      <c r="E36" s="97"/>
      <c r="F36" s="98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6" t="s">
        <v>121</v>
      </c>
      <c r="C37" s="97"/>
      <c r="D37" s="97"/>
      <c r="E37" s="97"/>
      <c r="F37" s="98"/>
      <c r="G37" s="26">
        <f>(G35+G36)*'Fane 15. Nøgletal'!C20</f>
        <v>1690436.0219443841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3" t="s">
        <v>130</v>
      </c>
      <c r="C40" s="94"/>
      <c r="D40" s="94"/>
      <c r="E40" s="94"/>
      <c r="F40" s="94"/>
      <c r="G40" s="94"/>
      <c r="H40" s="95"/>
      <c r="I40" s="1"/>
    </row>
    <row r="41" spans="1:9" x14ac:dyDescent="0.25">
      <c r="A41" s="1"/>
      <c r="B41" s="96" t="s">
        <v>123</v>
      </c>
      <c r="C41" s="97"/>
      <c r="D41" s="97"/>
      <c r="E41" s="97"/>
      <c r="F41" s="98"/>
      <c r="G41" s="26">
        <f>(G35+G36-G37)*(1+'Fane 15. Nøgletal'!C12)</f>
        <v>58971248.711546145</v>
      </c>
      <c r="H41" s="14" t="s">
        <v>3</v>
      </c>
      <c r="I41" s="1"/>
    </row>
    <row r="42" spans="1:9" x14ac:dyDescent="0.25">
      <c r="A42" s="1"/>
      <c r="B42" s="96" t="s">
        <v>157</v>
      </c>
      <c r="C42" s="97"/>
      <c r="D42" s="97"/>
      <c r="E42" s="97"/>
      <c r="F42" s="98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6" t="s">
        <v>122</v>
      </c>
      <c r="C43" s="97"/>
      <c r="D43" s="97"/>
      <c r="E43" s="97"/>
      <c r="F43" s="98"/>
      <c r="G43" s="26">
        <f>(G41+G42)*'Fane 15. Nøgletal'!C20</f>
        <v>1674783.4634079107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dz/b1WDsWTC4otMsRefH1w0e/XJwOrsF2nX0BB40SoENnk5V+T91+AnxJt1z/X7Q4mwEdV+I/AR8GLI0r3lzBg==" saltValue="S6djFfL3Q+5a9eUu+66HtQ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131</v>
      </c>
      <c r="C9" s="97"/>
      <c r="D9" s="97"/>
      <c r="E9" s="97"/>
      <c r="F9" s="98"/>
      <c r="G9" s="25">
        <v>9.2707243099714662E-3</v>
      </c>
      <c r="H9" s="14"/>
      <c r="I9" s="1"/>
    </row>
    <row r="10" spans="1:9" x14ac:dyDescent="0.25">
      <c r="A10" s="1"/>
      <c r="B10" s="96" t="s">
        <v>132</v>
      </c>
      <c r="C10" s="97"/>
      <c r="D10" s="97"/>
      <c r="E10" s="97"/>
      <c r="F10" s="98"/>
      <c r="G10" s="25">
        <v>0</v>
      </c>
      <c r="H10" s="14"/>
      <c r="I10" s="1"/>
    </row>
    <row r="11" spans="1:9" x14ac:dyDescent="0.25">
      <c r="A11" s="1"/>
      <c r="B11" s="96" t="s">
        <v>133</v>
      </c>
      <c r="C11" s="97"/>
      <c r="D11" s="97"/>
      <c r="E11" s="97"/>
      <c r="F11" s="98"/>
      <c r="G11" s="43">
        <v>8.1721194449548423E-3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3" t="s">
        <v>78</v>
      </c>
      <c r="C14" s="103"/>
      <c r="D14" s="103"/>
      <c r="E14" s="103"/>
      <c r="F14" s="103"/>
      <c r="G14" s="103"/>
      <c r="H14" s="103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I2i4yWFkKXrXoE51ZQLjG0w17TNSH7Pfu3Ew4cMDu+TJvi6tGPtZTeF5I19LQqXwaWMe3+DQxUw57yyttqfUWA==" saltValue="x2GQGRCZFdicKIYOYV9h+Q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2019-10-12T15:01:21Z</dcterms:modified>
</cp:coreProperties>
</file>