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arhus Vand AS (V22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9" i="40" l="1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21" i="39"/>
  <c r="C20" i="39"/>
  <c r="E13" i="39"/>
  <c r="E12" i="39"/>
  <c r="E29" i="39"/>
  <c r="E28" i="39"/>
  <c r="C37" i="39"/>
  <c r="C36" i="39"/>
  <c r="E21" i="39"/>
  <c r="E20" i="39"/>
  <c r="E37" i="39"/>
  <c r="E36" i="39"/>
  <c r="E14" i="39" l="1"/>
  <c r="C25" i="2" s="1"/>
  <c r="C30" i="39"/>
  <c r="C19" i="22" s="1"/>
  <c r="E30" i="39"/>
  <c r="C20" i="22" s="1"/>
  <c r="C22" i="39"/>
  <c r="C20" i="15" s="1"/>
  <c r="C38" i="39"/>
  <c r="C19" i="23" s="1"/>
  <c r="E38" i="39"/>
  <c r="C20" i="23" s="1"/>
  <c r="E22" i="39"/>
  <c r="C21" i="15" s="1"/>
  <c r="C14" i="39"/>
  <c r="C24" i="2" s="1"/>
  <c r="G12" i="10"/>
  <c r="G14" i="10" s="1"/>
  <c r="C21" i="22" l="1"/>
  <c r="C21" i="23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2" i="32" s="1"/>
  <c r="E37" i="32" l="1"/>
  <c r="E39" i="32" s="1"/>
  <c r="C24" i="15" s="1"/>
  <c r="C23" i="22" s="1"/>
  <c r="C30" i="2"/>
  <c r="F11" i="11" l="1"/>
  <c r="C10" i="37" s="1"/>
  <c r="C16" i="37" s="1"/>
  <c r="C17" i="37" s="1"/>
  <c r="C10" i="2" s="1"/>
  <c r="G11" i="11"/>
  <c r="E11" i="21" l="1"/>
  <c r="C11" i="21"/>
  <c r="E11" i="29"/>
  <c r="C11" i="29"/>
  <c r="C16" i="19"/>
  <c r="C17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6" i="37" s="1"/>
  <c r="E17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<sst xmlns="http://schemas.openxmlformats.org/spreadsheetml/2006/main" count="610" uniqueCount="250">
  <si>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</si>
  <si>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</si>
  <si>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</si>
  <si>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</si>
  <si>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</si>
  <si>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</si>
  <si>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</si>
  <si>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</si>
  <si>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</si>
  <si>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</si>
  <si>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</si>
  <si>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</si>
  <si>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</si>
  <si>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</si>
  <si>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</si>
  <si>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</si>
  <si>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</si>
  <si>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</si>
  <si>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</si>
  <si>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</si>
  <si>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</si>
  <si>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</si>
  <si>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</si>
  <si>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</si>
  <si>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</si>
  <si>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</si>
  <si>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</si>
  <si>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</si>
  <si>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</si>
  <si>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</si>
  <si>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</si>
  <si>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</si>
  <si>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</si>
  <si>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</si>
  <si>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</si>
  <si>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</si>
  <si>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</si>
  <si>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</si>
  <si>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</si>
  <si>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</si>
  <si>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</si>
  <si>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</si>
  <si>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</si>
  <si>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</si>
  <si>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</si>
  <si>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</si>
  <si>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</si>
  <si>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</si>
  <si>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</si>
  <si>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</si>
  <si>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</si>
  <si>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</si>
  <si>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</si>
  <si>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</si>
  <si>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</si>
  <si>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</si>
  <si>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</si>
  <si>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</si>
  <si>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</si>
  <si>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</si>
  <si>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</si>
  <si>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</si>
  <si>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</si>
  <si>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</si>
  <si>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</si>
  <si>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</si>
  <si>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</si>
  <si>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</si>
  <si>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</si>
  <si>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</si>
  <si>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</si>
  <si>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</si>
  <si>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</si>
  <si>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</si>
  <si>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</si>
  <si>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</si>
  <si>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</si>
  <si>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</si>
  <si>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</si>
  <si>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</si>
  <si>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</si>
  <si>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</si>
  <si>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</si>
  <si>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</si>
  <si>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</si>
  <si>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</si>
  <si>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</si>
  <si>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</si>
  <si>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</si>
  <si>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</si>
  <si>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</si>
  <si>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</si>
  <si>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</si>
  <si>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</si>
  <si>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</si>
  <si>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</si>
  <si>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</si>
  <si>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</si>
  <si>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</si>
  <si>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</si>
  <si>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</si>
  <si>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</si>
  <si>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</si>
  <si>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</si>
  <si>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</si>
  <si>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</si>
  <si>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</si>
  <si>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</si>
  <si>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</si>
  <si>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</si>
  <si>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</si>
  <si>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</si>
  <si>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</si>
  <si>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</si>
  <si>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</si>
  <si>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</si>
  <si>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</si>
  <si>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</si>
  <si>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</si>
  <si>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</si>
  <si>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</si>
  <si>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</si>
  <si>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</si>
  <si>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</si>
  <si>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</si>
  <si>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</si>
  <si>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</si>
  <si>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</si>
  <si>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</si>
  <si>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</si>
  <si>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</si>
  <si>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</si>
  <si>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</si>
  <si>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</si>
  <si>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</si>
  <si>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</si>
  <si>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</si>
  <si>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</si>
  <si>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</si>
  <si>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</si>
  <si>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</si>
  <si>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</si>
  <si>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</si>
  <si>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</si>
  <si>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</si>
  <si>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</si>
  <si>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</si>
  <si>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</si>
  <si>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</si>
  <si>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</si>
  <si>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</si>
  <si>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</si>
  <si>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</si>
  <si>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</si>
  <si>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</si>
  <si>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</si>
  <si>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</si>
  <si>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</si>
  <si>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</si>
  <si>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</si>
  <si>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</si>
  <si>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</si>
  <si>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</si>
  <si>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</si>
  <si>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</si>
  <si>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</si>
  <si>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</si>
  <si>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</si>
  <si>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</si>
  <si>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</si>
  <si>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</si>
  <si>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</si>
  <si>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</si>
  <si>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</si>
  <si>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</si>
  <si>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</si>
  <si>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</si>
  <si>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</si>
  <si>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</si>
  <si>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</si>
  <si>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</si>
  <si>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</si>
  <si>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</si>
  <si>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</si>
  <si>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</si>
  <si>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</si>
  <si>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</si>
  <si>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</si>
  <si>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</si>
  <si>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</si>
  <si>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</si>
  <si>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</si>
  <si>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</si>
  <si>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</si>
  <si>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</si>
  <si>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</si>
  <si>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</si>
  <si>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</si>
  <si>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</si>
  <si>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</si>
  <si>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</si>
  <si>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</si>
  <si>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</si>
  <si>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</si>
  <si>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</si>
  <si>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</si>
  <si>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</si>
  <si>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</si>
  <si>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</si>
  <si>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</si>
  <si>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</si>
  <si>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</si>
  <si>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</si>
  <si>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</si>
  <si>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</si>
  <si>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</si>
  <si>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</si>
  <si>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</si>
  <si>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</si>
  <si>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</si>
  <si>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</si>
  <si>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</si>
  <si>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</si>
  <si>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</si>
  <si>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</si>
  <si>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</si>
  <si>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</si>
  <si>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</si>
  <si>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</si>
  <si>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</si>
  <si>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</si>
  <si>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</si>
  <si>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</si>
  <si>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</si>
  <si>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</si>
  <si>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</si>
  <si>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</si>
  <si>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</si>
  <si>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</si>
  <si>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</si>
  <si>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</si>
  <si>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Erstatninger</t>
  </si>
  <si>
    <t>Ingen engangstillæg</t>
  </si>
  <si>
    <t>Indvindingstilladelser</t>
  </si>
  <si>
    <t>Grundvandsbeskyttelse</t>
  </si>
  <si>
    <t>Strukturplan</t>
  </si>
  <si>
    <t>Omlægninger</t>
  </si>
  <si>
    <t>Udvidelse af forsyningsområdet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</si>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</sst>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7" t="s">
        <v>4</v>
      </c>
      <c r="E6" s="57"/>
      <c r="F6" s="57"/>
      <c r="G6" s="57"/>
      <c r="H6" s="3"/>
      <c r="I6" s="1"/>
    </row>
    <row r="7" spans="1:9" ht="15" customHeight="1" x14ac:dyDescent="0.25">
      <c r="A7" s="1"/>
      <c r="B7" s="1"/>
      <c r="C7" s="3"/>
      <c r="D7" s="57"/>
      <c r="E7" s="57"/>
      <c r="F7" s="57"/>
      <c r="G7" s="57"/>
      <c r="H7" s="3"/>
      <c r="I7" s="1"/>
    </row>
    <row r="8" spans="1:9" ht="15.75" x14ac:dyDescent="0.25">
      <c r="A8" s="1"/>
      <c r="B8" s="1"/>
      <c r="C8" s="4"/>
      <c r="D8" s="62" t="s">
        <v>192</v>
      </c>
      <c r="E8" s="62"/>
      <c r="F8" s="62"/>
      <c r="G8" s="6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4" t="s">
        <v>56</v>
      </c>
      <c r="E13" s="55"/>
      <c r="F13" s="55"/>
      <c r="G13" s="56"/>
      <c r="H13" s="1"/>
      <c r="I13" s="1"/>
    </row>
    <row r="14" spans="1:9" x14ac:dyDescent="0.25">
      <c r="A14" s="1"/>
      <c r="B14" s="1"/>
      <c r="C14" s="6" t="s">
        <v>22</v>
      </c>
      <c r="D14" s="54" t="s">
        <v>177</v>
      </c>
      <c r="E14" s="55"/>
      <c r="F14" s="55"/>
      <c r="G14" s="56"/>
      <c r="H14" s="1"/>
      <c r="I14" s="1"/>
    </row>
    <row r="15" spans="1:9" x14ac:dyDescent="0.25">
      <c r="A15" s="1"/>
      <c r="B15" s="1"/>
      <c r="C15" s="6" t="s">
        <v>55</v>
      </c>
      <c r="D15" s="54" t="s">
        <v>133</v>
      </c>
      <c r="E15" s="55"/>
      <c r="F15" s="55"/>
      <c r="G15" s="56"/>
      <c r="H15" s="1"/>
      <c r="I15" s="1"/>
    </row>
    <row r="16" spans="1:9" x14ac:dyDescent="0.25">
      <c r="A16" s="1"/>
      <c r="B16" s="1"/>
      <c r="C16" s="6" t="s">
        <v>57</v>
      </c>
      <c r="D16" s="54" t="s">
        <v>134</v>
      </c>
      <c r="E16" s="55"/>
      <c r="F16" s="55"/>
      <c r="G16" s="56"/>
      <c r="H16" s="1"/>
      <c r="I16" s="1"/>
    </row>
    <row r="17" spans="1:9" x14ac:dyDescent="0.25">
      <c r="A17" s="1"/>
      <c r="B17" s="1"/>
      <c r="C17" s="6" t="s">
        <v>224</v>
      </c>
      <c r="D17" s="54" t="s">
        <v>66</v>
      </c>
      <c r="E17" s="55"/>
      <c r="F17" s="55"/>
      <c r="G17" s="56"/>
      <c r="H17" s="1"/>
      <c r="I17" s="1"/>
    </row>
    <row r="18" spans="1:9" x14ac:dyDescent="0.25">
      <c r="A18" s="1"/>
      <c r="B18" s="1"/>
      <c r="C18" s="34" t="s">
        <v>196</v>
      </c>
      <c r="D18" s="63" t="s">
        <v>162</v>
      </c>
      <c r="E18" s="64"/>
      <c r="F18" s="64"/>
      <c r="G18" s="65"/>
      <c r="H18" s="1"/>
      <c r="I18" s="1"/>
    </row>
    <row r="19" spans="1:9" x14ac:dyDescent="0.25">
      <c r="A19" s="1"/>
      <c r="B19" s="1"/>
      <c r="C19" s="34" t="s">
        <v>197</v>
      </c>
      <c r="D19" s="63" t="s">
        <v>163</v>
      </c>
      <c r="E19" s="64"/>
      <c r="F19" s="64"/>
      <c r="G19" s="65"/>
      <c r="H19" s="1"/>
      <c r="I19" s="1"/>
    </row>
    <row r="20" spans="1:9" x14ac:dyDescent="0.25">
      <c r="A20" s="1"/>
      <c r="B20" s="1"/>
      <c r="C20" s="34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198</v>
      </c>
      <c r="D21" s="72" t="s">
        <v>17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140</v>
      </c>
      <c r="D22" s="58" t="s">
        <v>161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225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58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199</v>
      </c>
      <c r="D25" s="58" t="s">
        <v>141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200</v>
      </c>
      <c r="D26" s="58" t="s">
        <v>142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201</v>
      </c>
      <c r="D27" s="58" t="s">
        <v>59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183</v>
      </c>
      <c r="D28" s="58" t="s">
        <v>60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61</v>
      </c>
      <c r="D29" s="66" t="s">
        <v>11</v>
      </c>
      <c r="E29" s="67"/>
      <c r="F29" s="67"/>
      <c r="G29" s="68"/>
      <c r="H29" s="1"/>
      <c r="I29" s="1"/>
    </row>
    <row r="30" spans="1:9" x14ac:dyDescent="0.25">
      <c r="A30" s="1"/>
      <c r="B30" s="1"/>
      <c r="C30" s="6" t="s">
        <v>62</v>
      </c>
      <c r="D30" s="69" t="s">
        <v>184</v>
      </c>
      <c r="E30" s="70"/>
      <c r="F30" s="70"/>
      <c r="G30" s="7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EskJVuH92p6znLpiSduwrUNNUQL5GXo4xuB0mLKAzRhyPLJ8G3HmBIox+EOw0bbOa2LcO7xqxdO66TOsM6Bg==" saltValue="qiF62NYJyFghNnTlEtIJkg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204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8" t="s">
        <v>69</v>
      </c>
      <c r="C8" s="99"/>
      <c r="D8" s="100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236</v>
      </c>
      <c r="C10" s="9">
        <v>90731684</v>
      </c>
      <c r="D10" s="14" t="s">
        <v>3</v>
      </c>
      <c r="E10" s="1"/>
      <c r="F10" s="1"/>
    </row>
    <row r="11" spans="1:6" x14ac:dyDescent="0.25">
      <c r="A11" s="1"/>
      <c r="B11" s="48" t="s">
        <v>237</v>
      </c>
      <c r="C11" s="9">
        <v>203879</v>
      </c>
      <c r="D11" s="14" t="s">
        <v>3</v>
      </c>
      <c r="E11" s="1"/>
      <c r="F11" s="1"/>
    </row>
    <row r="12" spans="1:6" ht="26.25" x14ac:dyDescent="0.25">
      <c r="A12" s="1"/>
      <c r="B12" s="44" t="s">
        <v>238</v>
      </c>
      <c r="C12" s="9">
        <v>110316</v>
      </c>
      <c r="D12" s="14" t="s">
        <v>3</v>
      </c>
      <c r="E12" s="1"/>
      <c r="F12" s="1"/>
    </row>
    <row r="13" spans="1:6" x14ac:dyDescent="0.25">
      <c r="A13" s="1"/>
      <c r="B13" s="44" t="s">
        <v>239</v>
      </c>
      <c r="C13" s="9">
        <v>622299</v>
      </c>
      <c r="D13" s="14" t="s">
        <v>3</v>
      </c>
      <c r="E13" s="1"/>
      <c r="F13" s="1"/>
    </row>
    <row r="14" spans="1:6" x14ac:dyDescent="0.25">
      <c r="A14" s="1"/>
      <c r="B14" s="44" t="s">
        <v>240</v>
      </c>
      <c r="C14" s="9">
        <v>9769578</v>
      </c>
      <c r="D14" s="14" t="s">
        <v>3</v>
      </c>
      <c r="E14" s="1"/>
      <c r="F14" s="1"/>
    </row>
    <row r="15" spans="1:6" x14ac:dyDescent="0.25">
      <c r="A15" s="1"/>
      <c r="B15" s="48" t="s">
        <v>241</v>
      </c>
      <c r="C15" s="9">
        <v>24529</v>
      </c>
      <c r="D15" s="14" t="s">
        <v>3</v>
      </c>
      <c r="E15" s="1"/>
      <c r="F15" s="1"/>
    </row>
    <row r="16" spans="1:6" x14ac:dyDescent="0.25">
      <c r="A16" s="1"/>
      <c r="B16" s="39" t="s">
        <v>71</v>
      </c>
      <c r="C16" s="12">
        <f>SUM(C10:C15)</f>
        <v>101462285</v>
      </c>
      <c r="D16" s="13" t="s">
        <v>3</v>
      </c>
      <c r="E16" s="1"/>
      <c r="F16" s="1"/>
    </row>
    <row r="17" spans="1:6" x14ac:dyDescent="0.25">
      <c r="A17" s="1"/>
      <c r="B17" s="39" t="s">
        <v>72</v>
      </c>
      <c r="C17" s="12">
        <f>C16*(1+'Fane 14. Nøgletal'!C12)^2</f>
        <v>105499275.52718565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N1UtyI9VurQue0/4xo4wJqUhBrAC+GcgUIcBAa9cKc9LGjeY+XANiF4oQ8JV8KUrGnyMjJHOnJklIaJZcpNqUw==" saltValue="KdiFX6cC+N17Ab0j43R28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205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8" t="s">
        <v>52</v>
      </c>
      <c r="C6" s="99"/>
      <c r="D6" s="99"/>
      <c r="E6" s="99"/>
      <c r="F6" s="100"/>
      <c r="G6" s="1"/>
    </row>
    <row r="7" spans="1:7" ht="15" customHeight="1" x14ac:dyDescent="0.25">
      <c r="A7" s="1"/>
      <c r="B7" s="101" t="s">
        <v>50</v>
      </c>
      <c r="C7" s="102"/>
      <c r="D7" s="103"/>
      <c r="E7" s="9">
        <v>-11287924.701666668</v>
      </c>
      <c r="F7" s="14" t="s">
        <v>3</v>
      </c>
      <c r="G7" s="1"/>
    </row>
    <row r="8" spans="1:7" ht="15" customHeight="1" x14ac:dyDescent="0.25">
      <c r="A8" s="1"/>
      <c r="B8" s="101" t="s">
        <v>51</v>
      </c>
      <c r="C8" s="102"/>
      <c r="D8" s="103"/>
      <c r="E8" s="9">
        <v>6136837.3294971287</v>
      </c>
      <c r="F8" s="14" t="s">
        <v>3</v>
      </c>
      <c r="G8" s="1"/>
    </row>
    <row r="9" spans="1:7" ht="15" customHeight="1" x14ac:dyDescent="0.25">
      <c r="A9" s="1"/>
      <c r="B9" s="109" t="s">
        <v>186</v>
      </c>
      <c r="C9" s="110"/>
      <c r="D9" s="111"/>
      <c r="E9" s="10">
        <f>SUM(E7:E8)</f>
        <v>-5151087.3721695393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7" t="s">
        <v>188</v>
      </c>
      <c r="C11" s="78"/>
      <c r="D11" s="78"/>
      <c r="E11" s="78"/>
      <c r="F11" s="7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165</v>
      </c>
      <c r="C14" s="99"/>
      <c r="D14" s="99"/>
      <c r="E14" s="99"/>
      <c r="F14" s="100"/>
      <c r="G14" s="1"/>
    </row>
    <row r="15" spans="1:7" x14ac:dyDescent="0.25">
      <c r="A15" s="1"/>
      <c r="B15" s="101" t="s">
        <v>166</v>
      </c>
      <c r="C15" s="102"/>
      <c r="D15" s="103"/>
      <c r="E15" s="9">
        <v>252884782.01621237</v>
      </c>
      <c r="F15" s="14" t="s">
        <v>3</v>
      </c>
      <c r="G15" s="1"/>
    </row>
    <row r="16" spans="1:7" x14ac:dyDescent="0.25">
      <c r="A16" s="1"/>
      <c r="B16" s="101" t="s">
        <v>167</v>
      </c>
      <c r="C16" s="102"/>
      <c r="D16" s="103"/>
      <c r="E16" s="9">
        <v>253856496</v>
      </c>
      <c r="F16" s="14" t="s">
        <v>3</v>
      </c>
      <c r="G16" s="1"/>
    </row>
    <row r="17" spans="1:7" x14ac:dyDescent="0.25">
      <c r="A17" s="1"/>
      <c r="B17" s="101" t="s">
        <v>49</v>
      </c>
      <c r="C17" s="102"/>
      <c r="D17" s="103"/>
      <c r="E17" s="9">
        <v>0</v>
      </c>
      <c r="F17" s="14" t="s">
        <v>3</v>
      </c>
      <c r="G17" s="1"/>
    </row>
    <row r="18" spans="1:7" x14ac:dyDescent="0.25">
      <c r="A18" s="1"/>
      <c r="B18" s="109" t="s">
        <v>187</v>
      </c>
      <c r="C18" s="110"/>
      <c r="D18" s="111"/>
      <c r="E18" s="10">
        <f>E15-(E16-E17)</f>
        <v>-971713.98378762603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7" t="s">
        <v>189</v>
      </c>
      <c r="C20" s="78"/>
      <c r="D20" s="78"/>
      <c r="E20" s="78"/>
      <c r="F20" s="7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8" t="s">
        <v>77</v>
      </c>
      <c r="C23" s="99"/>
      <c r="D23" s="99"/>
      <c r="E23" s="99"/>
      <c r="F23" s="100"/>
      <c r="G23" s="1"/>
    </row>
    <row r="24" spans="1:7" x14ac:dyDescent="0.25">
      <c r="A24" s="1"/>
      <c r="B24" s="101" t="s">
        <v>78</v>
      </c>
      <c r="C24" s="102"/>
      <c r="D24" s="103"/>
      <c r="E24" s="9">
        <v>246440976.3798632</v>
      </c>
      <c r="F24" s="14" t="s">
        <v>3</v>
      </c>
      <c r="G24" s="1"/>
    </row>
    <row r="25" spans="1:7" x14ac:dyDescent="0.25">
      <c r="A25" s="1"/>
      <c r="B25" s="101" t="s">
        <v>79</v>
      </c>
      <c r="C25" s="102"/>
      <c r="D25" s="103"/>
      <c r="E25" s="9">
        <v>257736790</v>
      </c>
      <c r="F25" s="14" t="s">
        <v>3</v>
      </c>
      <c r="G25" s="1"/>
    </row>
    <row r="26" spans="1:7" x14ac:dyDescent="0.25">
      <c r="A26" s="1"/>
      <c r="B26" s="101" t="s">
        <v>49</v>
      </c>
      <c r="C26" s="102"/>
      <c r="D26" s="103"/>
      <c r="E26" s="9">
        <v>1818982</v>
      </c>
      <c r="F26" s="14" t="s">
        <v>3</v>
      </c>
      <c r="G26" s="1"/>
    </row>
    <row r="27" spans="1:7" x14ac:dyDescent="0.25">
      <c r="A27" s="1"/>
      <c r="B27" s="109" t="s">
        <v>187</v>
      </c>
      <c r="C27" s="110"/>
      <c r="D27" s="111"/>
      <c r="E27" s="10">
        <f>E24-(E25-E26)</f>
        <v>-9476831.6201367974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8" t="s">
        <v>248</v>
      </c>
      <c r="C31" s="99"/>
      <c r="D31" s="99"/>
      <c r="E31" s="99"/>
      <c r="F31" s="100"/>
      <c r="G31" s="1"/>
    </row>
    <row r="32" spans="1:7" x14ac:dyDescent="0.25">
      <c r="A32" s="1"/>
      <c r="B32" s="109" t="s">
        <v>249</v>
      </c>
      <c r="C32" s="110"/>
      <c r="D32" s="111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-3061400.6779785827</v>
      </c>
      <c r="F32" s="17" t="s">
        <v>3</v>
      </c>
      <c r="G32" s="1"/>
    </row>
    <row r="33" spans="1:7" x14ac:dyDescent="0.25">
      <c r="A33" s="1"/>
      <c r="B33" s="98"/>
      <c r="C33" s="99"/>
      <c r="D33" s="99"/>
      <c r="E33" s="99"/>
      <c r="F33" s="100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8" t="s">
        <v>180</v>
      </c>
      <c r="C36" s="99"/>
      <c r="D36" s="99"/>
      <c r="E36" s="99"/>
      <c r="F36" s="100"/>
      <c r="G36" s="1"/>
    </row>
    <row r="37" spans="1:7" x14ac:dyDescent="0.25">
      <c r="A37" s="1"/>
      <c r="B37" s="112" t="s">
        <v>53</v>
      </c>
      <c r="C37" s="113"/>
      <c r="D37" s="114"/>
      <c r="E37" s="9">
        <f>IF(AND(E9&gt;0,E18&gt;0),IF(E18+E27&gt;=0,0,IF(E18+E27&lt;0,E18+E27,0)),IF(AND(E9&lt;0,E18&gt;0,ABS(E9)&lt;ABS(E18)),IF(E9+E18+E27&gt;=0,0,IF(E9+E18+E27&lt;0,E9+E18+E27,0)),IF(E27&gt;=0,0,E27)))</f>
        <v>-9476831.6201367974</v>
      </c>
      <c r="F37" s="14" t="s">
        <v>3</v>
      </c>
      <c r="G37" s="1"/>
    </row>
    <row r="38" spans="1:7" x14ac:dyDescent="0.25">
      <c r="A38" s="1"/>
      <c r="B38" s="112" t="s">
        <v>185</v>
      </c>
      <c r="C38" s="113"/>
      <c r="D38" s="114"/>
      <c r="E38" s="9">
        <v>2</v>
      </c>
      <c r="F38" s="14" t="s">
        <v>27</v>
      </c>
      <c r="G38" s="1"/>
    </row>
    <row r="39" spans="1:7" ht="15" customHeight="1" x14ac:dyDescent="0.25">
      <c r="A39" s="1"/>
      <c r="B39" s="109" t="s">
        <v>227</v>
      </c>
      <c r="C39" s="110"/>
      <c r="D39" s="111"/>
      <c r="E39" s="10">
        <f>E37/E38</f>
        <v>-4738415.8100683987</v>
      </c>
      <c r="F39" s="17" t="s">
        <v>3</v>
      </c>
      <c r="G39" s="1"/>
    </row>
    <row r="40" spans="1:7" x14ac:dyDescent="0.25">
      <c r="A40" s="1"/>
      <c r="B40" s="98"/>
      <c r="C40" s="99"/>
      <c r="D40" s="99"/>
      <c r="E40" s="99"/>
      <c r="F40" s="100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rYMyJ8p8Myb23PWMTClFWuGBlvBoSxxN9i2NXzwHJiJMmKbNPH7HivnIXUa1xBMwMiiZGMg0LIvu22ekG4HiBw==" saltValue="E1ZQTvV6sd41dUFAaj++sw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228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159</v>
      </c>
      <c r="C8" s="99"/>
      <c r="D8" s="99"/>
      <c r="E8" s="99"/>
      <c r="F8" s="99"/>
      <c r="G8" s="1"/>
    </row>
    <row r="9" spans="1:7" ht="29.25" customHeight="1" x14ac:dyDescent="0.25">
      <c r="A9" s="1"/>
      <c r="B9" s="89" t="s">
        <v>164</v>
      </c>
      <c r="C9" s="90"/>
      <c r="D9" s="91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134096.31580940075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134096.31580940075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xaI2Y7NZR4sHXOiufOQMZPaSuh8idlTEpNTSWruRppUiLlI1PF1oY/Ii0vvRAx/06g3chMNucPnLKWkCFuKsvQ==" saltValue="WmWpT2Rn0toQB/PIZoaeS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229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230</v>
      </c>
      <c r="C8" s="99"/>
      <c r="D8" s="99"/>
      <c r="E8" s="99"/>
      <c r="F8" s="99"/>
      <c r="G8" s="99"/>
      <c r="H8" s="100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25">
      <c r="A10" s="1"/>
      <c r="B10" s="51" t="s">
        <v>234</v>
      </c>
      <c r="C10" s="52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8" t="s">
        <v>231</v>
      </c>
      <c r="C11" s="99"/>
      <c r="D11" s="100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OFTwe+mqfmDulij6yZjO/H2MDi0V/Uwdu6eAUF5lNtPicmJeV4GLdHGR4eSjjtFb4eKnA3t91Oi7/dwPmA3sFA==" saltValue="vI3iyZrKQKaM1K45q0G+g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206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235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27" t="s">
        <v>244</v>
      </c>
      <c r="C11" s="24">
        <v>5130000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27" t="s">
        <v>245</v>
      </c>
      <c r="C12" s="24">
        <v>0</v>
      </c>
      <c r="D12" s="14" t="s">
        <v>3</v>
      </c>
      <c r="E12" s="9">
        <v>703291</v>
      </c>
      <c r="F12" s="14" t="s">
        <v>3</v>
      </c>
      <c r="G12" s="1"/>
    </row>
    <row r="13" spans="1:7" x14ac:dyDescent="0.25">
      <c r="A13" s="1"/>
      <c r="B13" s="27" t="s">
        <v>246</v>
      </c>
      <c r="C13" s="24">
        <v>0</v>
      </c>
      <c r="D13" s="14" t="s">
        <v>3</v>
      </c>
      <c r="E13" s="9">
        <v>54652</v>
      </c>
      <c r="F13" s="14" t="s">
        <v>3</v>
      </c>
      <c r="G13" s="1"/>
    </row>
    <row r="14" spans="1:7" x14ac:dyDescent="0.25">
      <c r="A14" s="1"/>
      <c r="B14" s="53" t="s">
        <v>247</v>
      </c>
      <c r="C14" s="24">
        <v>773166</v>
      </c>
      <c r="D14" s="14" t="s">
        <v>3</v>
      </c>
      <c r="E14" s="9">
        <v>257419</v>
      </c>
      <c r="F14" s="14" t="s">
        <v>3</v>
      </c>
      <c r="G14" s="1"/>
    </row>
    <row r="15" spans="1:7" x14ac:dyDescent="0.25">
      <c r="A15" s="1"/>
      <c r="B15" s="27" t="s">
        <v>243</v>
      </c>
      <c r="C15" s="24">
        <v>4607</v>
      </c>
      <c r="D15" s="14" t="s">
        <v>3</v>
      </c>
      <c r="E15" s="9">
        <v>0</v>
      </c>
      <c r="F15" s="14" t="s">
        <v>3</v>
      </c>
      <c r="G15" s="1"/>
    </row>
    <row r="16" spans="1:7" x14ac:dyDescent="0.25">
      <c r="A16" s="1"/>
      <c r="B16" s="39" t="s">
        <v>63</v>
      </c>
      <c r="C16" s="12">
        <f>SUM(C10:C15)</f>
        <v>5907773</v>
      </c>
      <c r="D16" s="13" t="s">
        <v>3</v>
      </c>
      <c r="E16" s="12">
        <f>SUM(E10:E15)</f>
        <v>1015362</v>
      </c>
      <c r="F16" s="13" t="s">
        <v>3</v>
      </c>
      <c r="G16" s="1"/>
    </row>
    <row r="17" spans="1:7" x14ac:dyDescent="0.25">
      <c r="A17" s="1"/>
      <c r="B17" s="39" t="s">
        <v>74</v>
      </c>
      <c r="C17" s="12">
        <f>C16*(1+'Fane 14. Nøgletal'!C12)</f>
        <v>6024156.1281000003</v>
      </c>
      <c r="D17" s="13" t="s">
        <v>3</v>
      </c>
      <c r="E17" s="12">
        <f>E16*(1+'Fane 14. Nøgletal'!C12)</f>
        <v>1035364.6314000001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d6hn97YIHnItjjCqo3SKJ3J/XG9PlCKEbZwOEjOh0g8/NGdr5fZRW1RnQeBj4hHRl5xkf0HQkZH+AuuodDvtcg==" saltValue="4LAR8sHdAxYVISuOTDv3z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207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168</v>
      </c>
      <c r="C8" s="99"/>
      <c r="D8" s="99"/>
      <c r="E8" s="99"/>
      <c r="F8" s="100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243</v>
      </c>
      <c r="C10" s="24">
        <v>138214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138214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-881.59235165311634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-2764.28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139922.33642235081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169</v>
      </c>
      <c r="C16" s="99"/>
      <c r="D16" s="99"/>
      <c r="E16" s="99"/>
      <c r="F16" s="100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242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8" t="s">
        <v>170</v>
      </c>
      <c r="C24" s="99"/>
      <c r="D24" s="99"/>
      <c r="E24" s="99"/>
      <c r="F24" s="100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242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8" t="s">
        <v>171</v>
      </c>
      <c r="C32" s="99"/>
      <c r="D32" s="99"/>
      <c r="E32" s="99"/>
      <c r="F32" s="100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242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Shtu8+Vw8PVaAw98DbS0hInDC3Ed2cIYt/Ld3N3Oy0EzQorrioXsdchV7jZaRAm3dmJvHNIKLCO6YAWcSPcT0A==" saltValue="H9+eW5xzqbxrIBWj8XnY6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208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31</v>
      </c>
      <c r="C8" s="99"/>
      <c r="D8" s="99"/>
      <c r="E8" s="99"/>
      <c r="F8" s="100"/>
      <c r="G8" s="1"/>
    </row>
    <row r="9" spans="1:7" ht="15" customHeight="1" x14ac:dyDescent="0.25">
      <c r="A9" s="1"/>
      <c r="B9" s="41" t="s">
        <v>32</v>
      </c>
      <c r="C9" s="89" t="s">
        <v>16</v>
      </c>
      <c r="D9" s="91"/>
      <c r="E9" s="89" t="s">
        <v>47</v>
      </c>
      <c r="F9" s="91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+nRuF4gp7GSx7Gw14OBtKk5qLSp6J28T8IiV1clk5DKeJldt1GGNHycBeTWRDBKSEVlOF0MR0f31tXWyvzsIHw==" saltValue="l4XbWHNMFlaTAClBg5tTs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209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156</v>
      </c>
      <c r="C8" s="99"/>
      <c r="D8" s="99"/>
      <c r="E8" s="99"/>
      <c r="F8" s="100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8" t="s">
        <v>157</v>
      </c>
      <c r="C15" s="99"/>
      <c r="D15" s="99"/>
      <c r="E15" s="99"/>
      <c r="F15" s="100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8" t="s">
        <v>155</v>
      </c>
      <c r="C22" s="99"/>
      <c r="D22" s="99"/>
      <c r="E22" s="99"/>
      <c r="F22" s="100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8" t="s">
        <v>158</v>
      </c>
      <c r="C29" s="99"/>
      <c r="D29" s="99"/>
      <c r="E29" s="99"/>
      <c r="F29" s="100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RzRXRQ/KGDUPSmCbl+VBLBdFTJz8NcXKMuxUBf2gsVtr+uhn0HkM9FIHiirLExROsQ67Mv3S9a6ycX21JC9LCQ==" saltValue="Mg5w7DA2epbQHg69q4Xfn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210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18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12</v>
      </c>
      <c r="C9" s="102"/>
      <c r="D9" s="102"/>
      <c r="E9" s="102"/>
      <c r="F9" s="103"/>
      <c r="G9" s="9">
        <v>-34584000</v>
      </c>
      <c r="H9" s="14" t="s">
        <v>3</v>
      </c>
      <c r="I9" s="1"/>
    </row>
    <row r="10" spans="1:9" x14ac:dyDescent="0.25">
      <c r="A10" s="1"/>
      <c r="B10" s="101" t="s">
        <v>135</v>
      </c>
      <c r="C10" s="102"/>
      <c r="D10" s="102"/>
      <c r="E10" s="102"/>
      <c r="F10" s="103"/>
      <c r="G10" s="9">
        <v>0</v>
      </c>
      <c r="H10" s="14" t="s">
        <v>3</v>
      </c>
      <c r="I10" s="1"/>
    </row>
    <row r="11" spans="1:9" x14ac:dyDescent="0.25">
      <c r="A11" s="1"/>
      <c r="B11" s="101" t="s">
        <v>80</v>
      </c>
      <c r="C11" s="102"/>
      <c r="D11" s="102"/>
      <c r="E11" s="102"/>
      <c r="F11" s="103"/>
      <c r="G11" s="9">
        <v>34584000</v>
      </c>
      <c r="H11" s="14" t="s">
        <v>3</v>
      </c>
      <c r="I11" s="1"/>
    </row>
    <row r="12" spans="1:9" x14ac:dyDescent="0.25">
      <c r="A12" s="1"/>
      <c r="B12" s="115" t="s">
        <v>15</v>
      </c>
      <c r="C12" s="116"/>
      <c r="D12" s="116"/>
      <c r="E12" s="116"/>
      <c r="F12" s="117"/>
      <c r="G12" s="19">
        <f>(G9+G10)+G11</f>
        <v>0</v>
      </c>
      <c r="H12" s="18" t="s">
        <v>3</v>
      </c>
      <c r="I12" s="1"/>
    </row>
    <row r="13" spans="1:9" x14ac:dyDescent="0.25">
      <c r="A13" s="1"/>
      <c r="B13" s="101" t="s">
        <v>13</v>
      </c>
      <c r="C13" s="102"/>
      <c r="D13" s="102"/>
      <c r="E13" s="102"/>
      <c r="F13" s="103"/>
      <c r="G13" s="9">
        <v>0</v>
      </c>
      <c r="H13" s="14" t="s">
        <v>27</v>
      </c>
      <c r="I13" s="1"/>
    </row>
    <row r="14" spans="1:9" x14ac:dyDescent="0.25">
      <c r="A14" s="1"/>
      <c r="B14" s="98" t="s">
        <v>136</v>
      </c>
      <c r="C14" s="99"/>
      <c r="D14" s="99"/>
      <c r="E14" s="99"/>
      <c r="F14" s="100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4KnbT7DFH/UBsj/8344HMtTDh9WRsQ8cXUm9q6e5wvupJnOyFx7iDz17sPmGo0ARYWIzKGdwU+1Y9sOXOe+LBw==" saltValue="ditUjPMIsdLyYk2QeRzYv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54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8"/>
      <c r="C13" s="100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juGQ3YjceqA+WURxKXkUmk7In1Vne2b/ciaGedbNW0W4nouM4P7SDVC/uHMtHihD9XL/ourbEnG6Q/HN0RLUDA==" saltValue="20XE//RQz1CL+6DUr0+yhQ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65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151805572.76806399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tillæg'!C17</f>
        <v>6024156.1281000003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tillæg'!E17</f>
        <v>1035364.6314000001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2704586.7387424312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-1030565.6039316943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-1869194.3580538386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-643716.15166427218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158026204.15265661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omk.'!C17</f>
        <v>105499275.52718565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139922.33642235081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139922.33642235081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-3061400.6779785827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134096.31580940075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260738097.65409544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EhliNcvQWBkoZuz4QduQ0b198+jtgjAbarvRkd+EDF5neIdbF6uc6xd1BYk4m4CF5gCEgJw1pir3ZBibhZKy9w==" saltValue="gIF5yRu+3K4AZXtTkMwhL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1.7109375" style="2" customWidth="1"/>
    <col min="3" max="3" width="11.140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158026204.15265661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3113116.221807335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-1027820.5709458418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-1867897.1371693495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-2054849.2731273603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156188753.39322141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omk.'!C17*(1+'Fane 14. Nøgletal'!C12)</f>
        <v>107577611.25507121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-4738415.8100683987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259027948.8382242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jCUJrqOswljJcxe79m2NYqO+4oeqWsqVefXCLOrEMGWgRJ6MmtTi9B23Vpv1u1z7S5hK/VvD7x4jX70DsFOzCQ==" saltValue="r1sG7fRU4JhE/xYQ1mnYu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57031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193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156188753.39322141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3076918.4418464615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-1015869.5802935374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-1866600.8165561543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-2035822.4373798228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154347379.00083834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omk.'!C17*(1+'Fane 14. Nøgletal'!C12)^2</f>
        <v>109696890.19679612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-4738415.8100683987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259305853.38756606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kifl0bs6PF6GBDG2mbO80pT7siefWTZSs1T3LXtN9fzo/ey6JDhYqB5zjiPcd1zIlj0ZR4r3+P/QCJv1sCj3CQ==" saltValue="Ys2DrGpe3q0Yetra0Lki9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57031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194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154347379.00083834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3040643.366316515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-1003893.0698821634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-1865305.3955894643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-2016971.7802373529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152501852.12144589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omk.'!C17*(1+'Fane 14. Nøgletal'!C12)^3</f>
        <v>111857918.93367299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264359771.05511889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EmSA+E3QMFzyo5HxI6HHEkBmhQW5WdeQV+q9dv2DfB4aNXXsMFuiy9XokiQQ/ebKkIfdt6zQXYzyhaQW+6xKCQ==" saltValue="axXoVo0K53mxO/rIcuOC4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221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3" t="s">
        <v>81</v>
      </c>
      <c r="C9" s="94"/>
      <c r="D9" s="95"/>
      <c r="E9" s="7">
        <v>147527070.84716257</v>
      </c>
      <c r="F9" s="8" t="s">
        <v>3</v>
      </c>
      <c r="G9" s="1"/>
    </row>
    <row r="10" spans="1:7" x14ac:dyDescent="0.25">
      <c r="A10" s="1"/>
      <c r="B10" s="93" t="s">
        <v>82</v>
      </c>
      <c r="C10" s="94"/>
      <c r="D10" s="95"/>
      <c r="E10" s="7">
        <v>-979009.75504358776</v>
      </c>
      <c r="F10" s="8" t="s">
        <v>3</v>
      </c>
      <c r="G10" s="1"/>
    </row>
    <row r="11" spans="1:7" x14ac:dyDescent="0.25">
      <c r="A11" s="1"/>
      <c r="B11" s="93" t="s">
        <v>83</v>
      </c>
      <c r="C11" s="94"/>
      <c r="D11" s="95"/>
      <c r="E11" s="7">
        <v>1118967.0195617571</v>
      </c>
      <c r="F11" s="8" t="s">
        <v>3</v>
      </c>
      <c r="G11" s="1"/>
    </row>
    <row r="12" spans="1:7" x14ac:dyDescent="0.25">
      <c r="A12" s="1"/>
      <c r="B12" s="80" t="s">
        <v>67</v>
      </c>
      <c r="C12" s="81"/>
      <c r="D12" s="82"/>
      <c r="E12" s="7">
        <v>4015592.6832999997</v>
      </c>
      <c r="F12" s="8" t="s">
        <v>3</v>
      </c>
      <c r="G12" s="1"/>
    </row>
    <row r="13" spans="1:7" x14ac:dyDescent="0.25">
      <c r="A13" s="1"/>
      <c r="B13" s="80" t="s">
        <v>68</v>
      </c>
      <c r="C13" s="81"/>
      <c r="D13" s="82"/>
      <c r="E13" s="9">
        <v>895237.06709999987</v>
      </c>
      <c r="F13" s="8" t="s">
        <v>3</v>
      </c>
      <c r="G13" s="1"/>
    </row>
    <row r="14" spans="1:7" x14ac:dyDescent="0.25">
      <c r="A14" s="1"/>
      <c r="B14" s="80" t="s">
        <v>41</v>
      </c>
      <c r="C14" s="81"/>
      <c r="D14" s="82"/>
      <c r="E14" s="9">
        <v>0</v>
      </c>
      <c r="F14" s="8" t="s">
        <v>3</v>
      </c>
      <c r="G14" s="1"/>
    </row>
    <row r="15" spans="1:7" x14ac:dyDescent="0.25">
      <c r="A15" s="1"/>
      <c r="B15" s="80" t="s">
        <v>40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0" t="s">
        <v>43</v>
      </c>
      <c r="C16" s="81"/>
      <c r="D16" s="82"/>
      <c r="E16" s="9">
        <v>0</v>
      </c>
      <c r="F16" s="8" t="s">
        <v>3</v>
      </c>
      <c r="G16" s="1"/>
    </row>
    <row r="17" spans="1:7" x14ac:dyDescent="0.25">
      <c r="A17" s="1"/>
      <c r="B17" s="80" t="s">
        <v>42</v>
      </c>
      <c r="C17" s="81"/>
      <c r="D17" s="82"/>
      <c r="E17" s="9">
        <v>0</v>
      </c>
      <c r="F17" s="8" t="s">
        <v>3</v>
      </c>
      <c r="G17" s="1"/>
    </row>
    <row r="18" spans="1:7" x14ac:dyDescent="0.25">
      <c r="A18" s="1"/>
      <c r="B18" s="80" t="s">
        <v>26</v>
      </c>
      <c r="C18" s="81"/>
      <c r="D18" s="82"/>
      <c r="E18" s="9">
        <f>SUM(E9:E17)*'Fane 14. Nøgletal'!C11</f>
        <v>2578565.797869164</v>
      </c>
      <c r="F18" s="8" t="s">
        <v>3</v>
      </c>
      <c r="G18" s="1"/>
    </row>
    <row r="19" spans="1:7" x14ac:dyDescent="0.25">
      <c r="A19" s="1"/>
      <c r="B19" s="80" t="s">
        <v>10</v>
      </c>
      <c r="C19" s="81"/>
      <c r="D19" s="82"/>
      <c r="E19" s="9">
        <f>-SUM(E9:E18)*'Fane 5. Individuelt eff. krav'!G10</f>
        <v>-989658.90871013387</v>
      </c>
      <c r="F19" s="8" t="s">
        <v>3</v>
      </c>
      <c r="G19" s="1"/>
    </row>
    <row r="20" spans="1:7" x14ac:dyDescent="0.25">
      <c r="A20" s="1"/>
      <c r="B20" s="80" t="s">
        <v>38</v>
      </c>
      <c r="C20" s="81"/>
      <c r="D20" s="82"/>
      <c r="E20" s="9">
        <f>-'Fane 4.1. Gen. krav - drift'!G20</f>
        <v>-1752362.3397012607</v>
      </c>
      <c r="F20" s="8" t="s">
        <v>3</v>
      </c>
      <c r="G20" s="1"/>
    </row>
    <row r="21" spans="1:7" x14ac:dyDescent="0.25">
      <c r="A21" s="1"/>
      <c r="B21" s="80" t="s">
        <v>39</v>
      </c>
      <c r="C21" s="81"/>
      <c r="D21" s="82"/>
      <c r="E21" s="9">
        <f>-'Fane 4.2. Gen. krav - anlæg'!G19</f>
        <v>-608829.64347452531</v>
      </c>
      <c r="F21" s="8" t="s">
        <v>3</v>
      </c>
      <c r="G21" s="1"/>
    </row>
    <row r="22" spans="1:7" x14ac:dyDescent="0.25">
      <c r="A22" s="1"/>
      <c r="B22" s="83" t="s">
        <v>28</v>
      </c>
      <c r="C22" s="84"/>
      <c r="D22" s="85"/>
      <c r="E22" s="10">
        <f>SUM(E9:E21)</f>
        <v>151805572.76806399</v>
      </c>
      <c r="F22" s="11" t="s">
        <v>3</v>
      </c>
      <c r="G22" s="1"/>
    </row>
    <row r="23" spans="1:7" x14ac:dyDescent="0.25">
      <c r="A23" s="1"/>
      <c r="B23" s="96" t="s">
        <v>17</v>
      </c>
      <c r="C23" s="97"/>
      <c r="D23" s="97"/>
      <c r="E23" s="40"/>
      <c r="F23" s="22"/>
      <c r="G23" s="1"/>
    </row>
    <row r="24" spans="1:7" x14ac:dyDescent="0.25">
      <c r="A24" s="1"/>
      <c r="B24" s="86" t="s">
        <v>17</v>
      </c>
      <c r="C24" s="87"/>
      <c r="D24" s="88"/>
      <c r="E24" s="10">
        <v>104672486.61402102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9" t="s">
        <v>132</v>
      </c>
      <c r="C26" s="90"/>
      <c r="D26" s="91"/>
      <c r="E26" s="10">
        <v>511548.92703311174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6" t="s">
        <v>19</v>
      </c>
      <c r="C28" s="87"/>
      <c r="D28" s="88"/>
      <c r="E28" s="10">
        <v>0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6" t="s">
        <v>131</v>
      </c>
      <c r="C30" s="87"/>
      <c r="D30" s="88"/>
      <c r="E30" s="10">
        <v>-3212358.7091567614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253777249.59996137</v>
      </c>
      <c r="F31" s="13" t="s">
        <v>3</v>
      </c>
      <c r="G31" s="1"/>
    </row>
    <row r="32" spans="1:7" ht="28.15" customHeight="1" x14ac:dyDescent="0.25">
      <c r="A32" s="1"/>
      <c r="B32" s="77" t="s">
        <v>189</v>
      </c>
      <c r="C32" s="78"/>
      <c r="D32" s="78"/>
      <c r="E32" s="78"/>
      <c r="F32" s="79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pKWw/+xEGKj40XC30j3mTG8fMtp42Qtbd2ij1oONmOeQku+5vVZovID04A/zd76QSJXubNa5WggoKZPRa0fNAQ==" saltValue="sHpUGzo5bm4Fz02mTEeHKQ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5" t="s">
        <v>202</v>
      </c>
      <c r="C2" s="75"/>
      <c r="D2" s="75"/>
      <c r="E2" s="75"/>
      <c r="F2" s="75"/>
      <c r="G2" s="75"/>
      <c r="H2" s="75"/>
      <c r="I2" s="1"/>
    </row>
    <row r="3" spans="1:9" ht="15" customHeight="1" x14ac:dyDescent="0.25">
      <c r="A3" s="1"/>
      <c r="B3" s="75"/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98" t="s">
        <v>97</v>
      </c>
      <c r="C5" s="99"/>
      <c r="D5" s="99"/>
      <c r="E5" s="99"/>
      <c r="F5" s="99"/>
      <c r="G5" s="99"/>
      <c r="H5" s="100"/>
      <c r="I5" s="1"/>
    </row>
    <row r="6" spans="1:9" x14ac:dyDescent="0.25">
      <c r="A6" s="1"/>
      <c r="B6" s="101" t="s">
        <v>86</v>
      </c>
      <c r="C6" s="102"/>
      <c r="D6" s="102"/>
      <c r="E6" s="102"/>
      <c r="F6" s="103"/>
      <c r="G6" s="26">
        <v>85467454.418774232</v>
      </c>
      <c r="H6" s="14" t="s">
        <v>3</v>
      </c>
      <c r="I6" s="1"/>
    </row>
    <row r="7" spans="1:9" x14ac:dyDescent="0.25">
      <c r="A7" s="1"/>
      <c r="B7" s="101" t="s">
        <v>87</v>
      </c>
      <c r="C7" s="102"/>
      <c r="D7" s="102"/>
      <c r="E7" s="102"/>
      <c r="F7" s="103"/>
      <c r="G7" s="26">
        <f>G6*'Fane 14. Nøgletal'!C25</f>
        <v>1709349.0883754846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8" t="s">
        <v>98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1" t="s">
        <v>88</v>
      </c>
      <c r="C11" s="102"/>
      <c r="D11" s="102"/>
      <c r="E11" s="102"/>
      <c r="F11" s="103"/>
      <c r="G11" s="26">
        <f>(G6-G7)*(1+'Fane 14. Nøgletal'!C9)</f>
        <v>84821833.268094808</v>
      </c>
      <c r="H11" s="14" t="s">
        <v>3</v>
      </c>
      <c r="I11" s="1"/>
    </row>
    <row r="12" spans="1:9" x14ac:dyDescent="0.25">
      <c r="A12" s="1"/>
      <c r="B12" s="104" t="s">
        <v>89</v>
      </c>
      <c r="C12" s="105"/>
      <c r="D12" s="105"/>
      <c r="E12" s="105"/>
      <c r="F12" s="106"/>
      <c r="G12" s="26">
        <v>0</v>
      </c>
      <c r="H12" s="14" t="s">
        <v>3</v>
      </c>
      <c r="I12" s="1"/>
    </row>
    <row r="13" spans="1:9" x14ac:dyDescent="0.25">
      <c r="A13" s="1"/>
      <c r="B13" s="101" t="s">
        <v>90</v>
      </c>
      <c r="C13" s="102"/>
      <c r="D13" s="102"/>
      <c r="E13" s="102"/>
      <c r="F13" s="103"/>
      <c r="G13" s="26">
        <f>(G11+G12)*'Fane 14. Nøgletal'!C25</f>
        <v>1696436.6653618962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8" t="s">
        <v>99</v>
      </c>
      <c r="C16" s="99"/>
      <c r="D16" s="99"/>
      <c r="E16" s="99"/>
      <c r="F16" s="99"/>
      <c r="G16" s="99"/>
      <c r="H16" s="100"/>
      <c r="I16" s="1"/>
    </row>
    <row r="17" spans="1:9" x14ac:dyDescent="0.25">
      <c r="A17" s="1"/>
      <c r="B17" s="101" t="s">
        <v>91</v>
      </c>
      <c r="C17" s="102"/>
      <c r="D17" s="102"/>
      <c r="E17" s="102"/>
      <c r="F17" s="103"/>
      <c r="G17" s="26">
        <f>(G13/'Fane 14. Nøgletal'!C25-G13)*(1+'Fane 14. Nøgletal'!C11)</f>
        <v>84530215.805319086</v>
      </c>
      <c r="H17" s="14" t="s">
        <v>3</v>
      </c>
      <c r="I17" s="1"/>
    </row>
    <row r="18" spans="1:9" x14ac:dyDescent="0.25">
      <c r="A18" s="1"/>
      <c r="B18" s="101" t="s">
        <v>222</v>
      </c>
      <c r="C18" s="102"/>
      <c r="D18" s="102"/>
      <c r="E18" s="102"/>
      <c r="F18" s="103"/>
      <c r="G18" s="26">
        <v>-995555.01990382432</v>
      </c>
      <c r="H18" s="14" t="s">
        <v>3</v>
      </c>
      <c r="I18" s="1"/>
    </row>
    <row r="19" spans="1:9" x14ac:dyDescent="0.25">
      <c r="A19" s="1"/>
      <c r="B19" s="104" t="s">
        <v>92</v>
      </c>
      <c r="C19" s="105"/>
      <c r="D19" s="105"/>
      <c r="E19" s="105"/>
      <c r="F19" s="106"/>
      <c r="G19" s="26">
        <v>4083456.1996477689</v>
      </c>
      <c r="H19" s="14" t="s">
        <v>3</v>
      </c>
      <c r="I19" s="1"/>
    </row>
    <row r="20" spans="1:9" x14ac:dyDescent="0.25">
      <c r="A20" s="1"/>
      <c r="B20" s="101" t="s">
        <v>93</v>
      </c>
      <c r="C20" s="102"/>
      <c r="D20" s="102"/>
      <c r="E20" s="102"/>
      <c r="F20" s="103"/>
      <c r="G20" s="26">
        <f>SUM(G17:G19)*'Fane 14. Nøgletal'!C25</f>
        <v>1752362.3397012607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8" t="s">
        <v>100</v>
      </c>
      <c r="C23" s="99"/>
      <c r="D23" s="99"/>
      <c r="E23" s="99"/>
      <c r="F23" s="99"/>
      <c r="G23" s="99"/>
      <c r="H23" s="100"/>
      <c r="I23" s="1"/>
    </row>
    <row r="24" spans="1:9" x14ac:dyDescent="0.25">
      <c r="A24" s="1"/>
      <c r="B24" s="101" t="s">
        <v>94</v>
      </c>
      <c r="C24" s="102"/>
      <c r="D24" s="102"/>
      <c r="E24" s="102"/>
      <c r="F24" s="103"/>
      <c r="G24" s="26">
        <f>(SUM(G17:G19)-G20)*(1+'Fane 14. Nøgletal'!C11)</f>
        <v>87316885.898868367</v>
      </c>
      <c r="H24" s="14" t="s">
        <v>3</v>
      </c>
      <c r="I24" s="1"/>
    </row>
    <row r="25" spans="1:9" x14ac:dyDescent="0.25">
      <c r="A25" s="1"/>
      <c r="B25" s="104" t="s">
        <v>95</v>
      </c>
      <c r="C25" s="105"/>
      <c r="D25" s="105"/>
      <c r="E25" s="105"/>
      <c r="F25" s="106"/>
      <c r="G25" s="26">
        <f>('Fane 2.1. Økonomisk ramme 2020'!C10+'Fane 2.1. Økonomisk ramme 2020'!C12+'Fane 2.1. Økonomisk ramme 2020'!C14)*(1+'Fane 14. Nøgletal'!C12)</f>
        <v>6142832.0038235709</v>
      </c>
      <c r="H25" s="14" t="s">
        <v>3</v>
      </c>
      <c r="I25" s="1"/>
    </row>
    <row r="26" spans="1:9" x14ac:dyDescent="0.25">
      <c r="A26" s="1"/>
      <c r="B26" s="101" t="s">
        <v>96</v>
      </c>
      <c r="C26" s="102"/>
      <c r="D26" s="102"/>
      <c r="E26" s="102"/>
      <c r="F26" s="103"/>
      <c r="G26" s="26">
        <f>(G24+G25)*'Fane 14. Nøgletal'!C25</f>
        <v>1869194.3580538386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8" t="s">
        <v>191</v>
      </c>
      <c r="C29" s="99"/>
      <c r="D29" s="99"/>
      <c r="E29" s="99"/>
      <c r="F29" s="99"/>
      <c r="G29" s="99"/>
      <c r="H29" s="100"/>
      <c r="I29" s="1"/>
    </row>
    <row r="30" spans="1:9" x14ac:dyDescent="0.25">
      <c r="A30" s="1"/>
      <c r="B30" s="101" t="s">
        <v>103</v>
      </c>
      <c r="C30" s="102"/>
      <c r="D30" s="102"/>
      <c r="E30" s="102"/>
      <c r="F30" s="103"/>
      <c r="G30" s="26">
        <f>(G24+G25-G26)*(1+'Fane 14. Nøgletal'!C12)</f>
        <v>93394856.858467475</v>
      </c>
      <c r="H30" s="14" t="s">
        <v>3</v>
      </c>
      <c r="I30" s="1"/>
    </row>
    <row r="31" spans="1:9" x14ac:dyDescent="0.25">
      <c r="A31" s="1"/>
      <c r="B31" s="101" t="s">
        <v>145</v>
      </c>
      <c r="C31" s="102"/>
      <c r="D31" s="102"/>
      <c r="E31" s="102"/>
      <c r="F31" s="103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101" t="s">
        <v>220</v>
      </c>
      <c r="C32" s="102"/>
      <c r="D32" s="102"/>
      <c r="E32" s="102"/>
      <c r="F32" s="103"/>
      <c r="G32" s="26">
        <f>(G30+G31)*'Fane 14. Nøgletal'!C25</f>
        <v>1867897.1371693495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8" t="s">
        <v>126</v>
      </c>
      <c r="C35" s="99"/>
      <c r="D35" s="99"/>
      <c r="E35" s="99"/>
      <c r="F35" s="99"/>
      <c r="G35" s="99"/>
      <c r="H35" s="100"/>
      <c r="I35" s="1"/>
    </row>
    <row r="36" spans="1:9" x14ac:dyDescent="0.25">
      <c r="A36" s="1"/>
      <c r="B36" s="101" t="s">
        <v>125</v>
      </c>
      <c r="C36" s="102"/>
      <c r="D36" s="102"/>
      <c r="E36" s="102"/>
      <c r="F36" s="103"/>
      <c r="G36" s="26">
        <f>(G30-G32)*(1+'Fane 14. Nøgletal'!C12)</f>
        <v>93330040.82780771</v>
      </c>
      <c r="H36" s="14" t="s">
        <v>3</v>
      </c>
      <c r="I36" s="1"/>
    </row>
    <row r="37" spans="1:9" x14ac:dyDescent="0.25">
      <c r="A37" s="1"/>
      <c r="B37" s="101" t="s">
        <v>146</v>
      </c>
      <c r="C37" s="102"/>
      <c r="D37" s="102"/>
      <c r="E37" s="102"/>
      <c r="F37" s="103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101" t="s">
        <v>104</v>
      </c>
      <c r="C38" s="102"/>
      <c r="D38" s="102"/>
      <c r="E38" s="102"/>
      <c r="F38" s="103"/>
      <c r="G38" s="26">
        <f>(G36+G37)*'Fane 14. Nøgletal'!C25</f>
        <v>1866600.8165561543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8" t="s">
        <v>127</v>
      </c>
      <c r="C41" s="99"/>
      <c r="D41" s="99"/>
      <c r="E41" s="99"/>
      <c r="F41" s="99"/>
      <c r="G41" s="99"/>
      <c r="H41" s="100"/>
      <c r="I41" s="1"/>
    </row>
    <row r="42" spans="1:9" x14ac:dyDescent="0.25">
      <c r="A42" s="1"/>
      <c r="B42" s="101" t="s">
        <v>124</v>
      </c>
      <c r="C42" s="102"/>
      <c r="D42" s="102"/>
      <c r="E42" s="102"/>
      <c r="F42" s="103"/>
      <c r="G42" s="26">
        <f>(G36-G38)*(1+'Fane 14. Nøgletal'!C12)</f>
        <v>93265269.779473215</v>
      </c>
      <c r="H42" s="14" t="s">
        <v>3</v>
      </c>
      <c r="I42" s="1"/>
    </row>
    <row r="43" spans="1:9" x14ac:dyDescent="0.25">
      <c r="A43" s="1"/>
      <c r="B43" s="101" t="s">
        <v>147</v>
      </c>
      <c r="C43" s="102"/>
      <c r="D43" s="102"/>
      <c r="E43" s="102"/>
      <c r="F43" s="103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101" t="s">
        <v>105</v>
      </c>
      <c r="C44" s="102"/>
      <c r="D44" s="102"/>
      <c r="E44" s="102"/>
      <c r="F44" s="103"/>
      <c r="G44" s="26">
        <f>(G42+G43)*'Fane 14. Nøgletal'!C25</f>
        <v>1865305.3955894643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qZ1a3LbXrpoKR/suvTcr6/hohqhGFPy8ZFmUzbwQxZkcalgG1z3xW9ubyX1bMZC/CL6tO/7IDXrSBvgj+Z1sA==" saltValue="BycHocHp6jUNhrNVJ025wQ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7" t="s">
        <v>203</v>
      </c>
      <c r="C2" s="107"/>
      <c r="D2" s="107"/>
      <c r="E2" s="107"/>
      <c r="F2" s="107"/>
      <c r="G2" s="107"/>
      <c r="H2" s="107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8" t="s">
        <v>101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1" t="s">
        <v>106</v>
      </c>
      <c r="C5" s="102"/>
      <c r="D5" s="102"/>
      <c r="E5" s="102"/>
      <c r="F5" s="103"/>
      <c r="G5" s="26">
        <v>67182599.401513278</v>
      </c>
      <c r="H5" s="14" t="s">
        <v>3</v>
      </c>
      <c r="I5" s="1"/>
    </row>
    <row r="6" spans="1:9" x14ac:dyDescent="0.25">
      <c r="A6" s="1"/>
      <c r="B6" s="101" t="s">
        <v>102</v>
      </c>
      <c r="C6" s="102"/>
      <c r="D6" s="102"/>
      <c r="E6" s="102"/>
      <c r="F6" s="103"/>
      <c r="G6" s="26">
        <f>G5*'Fane 14. Nøgletal'!C17</f>
        <v>611361.6545537709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8" t="s">
        <v>107</v>
      </c>
      <c r="C9" s="99"/>
      <c r="D9" s="99"/>
      <c r="E9" s="99"/>
      <c r="F9" s="99"/>
      <c r="G9" s="99"/>
      <c r="H9" s="100"/>
      <c r="I9" s="1"/>
    </row>
    <row r="10" spans="1:9" x14ac:dyDescent="0.25">
      <c r="A10" s="1"/>
      <c r="B10" s="101" t="s">
        <v>108</v>
      </c>
      <c r="C10" s="102"/>
      <c r="D10" s="102"/>
      <c r="E10" s="102"/>
      <c r="F10" s="103"/>
      <c r="G10" s="26">
        <f>(G5-G6)*(1+'Fane 14. Nøgletal'!C9)</f>
        <v>67416692.466345891</v>
      </c>
      <c r="H10" s="14" t="s">
        <v>3</v>
      </c>
      <c r="I10" s="1"/>
    </row>
    <row r="11" spans="1:9" x14ac:dyDescent="0.25">
      <c r="A11" s="1"/>
      <c r="B11" s="104" t="s">
        <v>109</v>
      </c>
      <c r="C11" s="105"/>
      <c r="D11" s="105"/>
      <c r="E11" s="105"/>
      <c r="F11" s="106"/>
      <c r="G11" s="26">
        <v>0</v>
      </c>
      <c r="H11" s="14" t="s">
        <v>3</v>
      </c>
      <c r="I11" s="1"/>
    </row>
    <row r="12" spans="1:9" x14ac:dyDescent="0.25">
      <c r="A12" s="1"/>
      <c r="B12" s="101" t="s">
        <v>110</v>
      </c>
      <c r="C12" s="102"/>
      <c r="D12" s="102"/>
      <c r="E12" s="102"/>
      <c r="F12" s="103"/>
      <c r="G12" s="26">
        <f>G10*'Fane 14. Nøgletal'!C17+G11*'Fane 14. Nøgletal'!C18</f>
        <v>613491.90144374769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8" t="s">
        <v>111</v>
      </c>
      <c r="C15" s="99"/>
      <c r="D15" s="99"/>
      <c r="E15" s="99"/>
      <c r="F15" s="99"/>
      <c r="G15" s="99"/>
      <c r="H15" s="100"/>
      <c r="I15" s="1"/>
    </row>
    <row r="16" spans="1:9" x14ac:dyDescent="0.25">
      <c r="A16" s="1"/>
      <c r="B16" s="101" t="s">
        <v>112</v>
      </c>
      <c r="C16" s="102"/>
      <c r="D16" s="102"/>
      <c r="E16" s="102"/>
      <c r="F16" s="103"/>
      <c r="G16" s="26">
        <f>(G10+G11-G12)*(1+'Fane 14. Nøgletal'!C11)</f>
        <v>67932174.654448986</v>
      </c>
      <c r="H16" s="14" t="s">
        <v>3</v>
      </c>
      <c r="I16" s="1"/>
    </row>
    <row r="17" spans="1:9" x14ac:dyDescent="0.25">
      <c r="A17" s="1"/>
      <c r="B17" s="101" t="s">
        <v>223</v>
      </c>
      <c r="C17" s="102"/>
      <c r="D17" s="102"/>
      <c r="E17" s="102"/>
      <c r="F17" s="103"/>
      <c r="G17" s="26">
        <v>1137877.5621923506</v>
      </c>
      <c r="H17" s="14" t="s">
        <v>3</v>
      </c>
      <c r="I17" s="1"/>
    </row>
    <row r="18" spans="1:9" x14ac:dyDescent="0.25">
      <c r="A18" s="1"/>
      <c r="B18" s="104" t="s">
        <v>113</v>
      </c>
      <c r="C18" s="105"/>
      <c r="D18" s="105"/>
      <c r="E18" s="105"/>
      <c r="F18" s="106"/>
      <c r="G18" s="26">
        <v>910366.57353398984</v>
      </c>
      <c r="H18" s="14" t="s">
        <v>3</v>
      </c>
      <c r="I18" s="1"/>
    </row>
    <row r="19" spans="1:9" x14ac:dyDescent="0.25">
      <c r="A19" s="1"/>
      <c r="B19" s="101" t="s">
        <v>114</v>
      </c>
      <c r="C19" s="102"/>
      <c r="D19" s="102"/>
      <c r="E19" s="102"/>
      <c r="F19" s="103"/>
      <c r="G19" s="26">
        <f>SUM(G16:G18)*'Fane 14. Nøgletal'!C19</f>
        <v>608829.64347452531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8" t="s">
        <v>115</v>
      </c>
      <c r="C22" s="99"/>
      <c r="D22" s="99"/>
      <c r="E22" s="99"/>
      <c r="F22" s="99"/>
      <c r="G22" s="99"/>
      <c r="H22" s="100"/>
      <c r="I22" s="1"/>
    </row>
    <row r="23" spans="1:9" x14ac:dyDescent="0.25">
      <c r="A23" s="1"/>
      <c r="B23" s="101" t="s">
        <v>116</v>
      </c>
      <c r="C23" s="102"/>
      <c r="D23" s="102"/>
      <c r="E23" s="102"/>
      <c r="F23" s="103"/>
      <c r="G23" s="26">
        <f>(SUM(G16:G18)-G19)*(1+'Fane 14. Nøgletal'!C11)</f>
        <v>70543969.003280059</v>
      </c>
      <c r="H23" s="14" t="s">
        <v>3</v>
      </c>
      <c r="I23" s="1"/>
    </row>
    <row r="24" spans="1:9" x14ac:dyDescent="0.25">
      <c r="A24" s="1"/>
      <c r="B24" s="104" t="s">
        <v>117</v>
      </c>
      <c r="C24" s="105"/>
      <c r="D24" s="105"/>
      <c r="E24" s="105"/>
      <c r="F24" s="106"/>
      <c r="G24" s="26">
        <f>('Fane 2.1. Økonomisk ramme 2020'!C11+'Fane 2.1. Økonomisk ramme 2020'!C13+'Fane 2.1. Økonomisk ramme 2020'!C15)*(1+'Fane 14. Nøgletal'!C12)</f>
        <v>1055761.3146385802</v>
      </c>
      <c r="H24" s="14" t="s">
        <v>3</v>
      </c>
      <c r="I24" s="1"/>
    </row>
    <row r="25" spans="1:9" x14ac:dyDescent="0.25">
      <c r="A25" s="1"/>
      <c r="B25" s="101" t="s">
        <v>118</v>
      </c>
      <c r="C25" s="102"/>
      <c r="D25" s="102"/>
      <c r="E25" s="102"/>
      <c r="F25" s="103"/>
      <c r="G25" s="26">
        <f>G23*'Fane 14. Nøgletal'!C19+G24*'Fane 14. Nøgletal'!C20</f>
        <v>643716.15166427218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8" t="s">
        <v>190</v>
      </c>
      <c r="C28" s="99"/>
      <c r="D28" s="99"/>
      <c r="E28" s="99"/>
      <c r="F28" s="99"/>
      <c r="G28" s="99"/>
      <c r="H28" s="100"/>
      <c r="I28" s="1"/>
    </row>
    <row r="29" spans="1:9" x14ac:dyDescent="0.25">
      <c r="A29" s="1"/>
      <c r="B29" s="101" t="s">
        <v>119</v>
      </c>
      <c r="C29" s="102"/>
      <c r="D29" s="102"/>
      <c r="E29" s="102"/>
      <c r="F29" s="103"/>
      <c r="G29" s="26">
        <f>(G23+G24-G25)*(1+'Fane 14. Nøgletal'!C12)</f>
        <v>72353847.64532958</v>
      </c>
      <c r="H29" s="14" t="s">
        <v>3</v>
      </c>
      <c r="I29" s="1"/>
    </row>
    <row r="30" spans="1:9" x14ac:dyDescent="0.25">
      <c r="A30" s="1"/>
      <c r="B30" s="101" t="s">
        <v>151</v>
      </c>
      <c r="C30" s="102"/>
      <c r="D30" s="102"/>
      <c r="E30" s="102"/>
      <c r="F30" s="103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101" t="s">
        <v>219</v>
      </c>
      <c r="C31" s="102"/>
      <c r="D31" s="102"/>
      <c r="E31" s="102"/>
      <c r="F31" s="103"/>
      <c r="G31" s="26">
        <f>(G29+G30)*'Fane 14. Nøgletal'!C20</f>
        <v>2054849.2731273603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8" t="s">
        <v>128</v>
      </c>
      <c r="C34" s="99"/>
      <c r="D34" s="99"/>
      <c r="E34" s="99"/>
      <c r="F34" s="99"/>
      <c r="G34" s="99"/>
      <c r="H34" s="100"/>
      <c r="I34" s="1"/>
    </row>
    <row r="35" spans="1:9" x14ac:dyDescent="0.25">
      <c r="A35" s="1"/>
      <c r="B35" s="101" t="s">
        <v>123</v>
      </c>
      <c r="C35" s="102"/>
      <c r="D35" s="102"/>
      <c r="E35" s="102"/>
      <c r="F35" s="103"/>
      <c r="G35" s="26">
        <f>(G29-G31)*(1+'Fane 14. Nøgletal'!C12)</f>
        <v>71683888.640134603</v>
      </c>
      <c r="H35" s="14" t="s">
        <v>3</v>
      </c>
      <c r="I35" s="1"/>
    </row>
    <row r="36" spans="1:9" x14ac:dyDescent="0.25">
      <c r="A36" s="1"/>
      <c r="B36" s="101" t="s">
        <v>152</v>
      </c>
      <c r="C36" s="102"/>
      <c r="D36" s="102"/>
      <c r="E36" s="102"/>
      <c r="F36" s="103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101" t="s">
        <v>120</v>
      </c>
      <c r="C37" s="102"/>
      <c r="D37" s="102"/>
      <c r="E37" s="102"/>
      <c r="F37" s="103"/>
      <c r="G37" s="26">
        <f>(G35+G36)*'Fane 14. Nøgletal'!C20</f>
        <v>2035822.4373798228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8" t="s">
        <v>129</v>
      </c>
      <c r="C40" s="99"/>
      <c r="D40" s="99"/>
      <c r="E40" s="99"/>
      <c r="F40" s="99"/>
      <c r="G40" s="99"/>
      <c r="H40" s="100"/>
      <c r="I40" s="1"/>
    </row>
    <row r="41" spans="1:9" x14ac:dyDescent="0.25">
      <c r="A41" s="1"/>
      <c r="B41" s="101" t="s">
        <v>122</v>
      </c>
      <c r="C41" s="102"/>
      <c r="D41" s="102"/>
      <c r="E41" s="102"/>
      <c r="F41" s="103"/>
      <c r="G41" s="26">
        <f>(G35-G37)*(1+'Fane 14. Nøgletal'!C12)</f>
        <v>71020133.106949046</v>
      </c>
      <c r="H41" s="14" t="s">
        <v>3</v>
      </c>
      <c r="I41" s="1"/>
    </row>
    <row r="42" spans="1:9" x14ac:dyDescent="0.25">
      <c r="A42" s="1"/>
      <c r="B42" s="101" t="s">
        <v>153</v>
      </c>
      <c r="C42" s="102"/>
      <c r="D42" s="102"/>
      <c r="E42" s="102"/>
      <c r="F42" s="103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101" t="s">
        <v>121</v>
      </c>
      <c r="C43" s="102"/>
      <c r="D43" s="102"/>
      <c r="E43" s="102"/>
      <c r="F43" s="103"/>
      <c r="G43" s="26">
        <f>(G41+G42)*'Fane 14. Nøgletal'!C20</f>
        <v>2016971.7802373529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0QjISJB+U/CrGyhcIMNCsPGz0iHEzBUEd78PaTrttP855aMhEy6oitY+GyEtv2aODitajArV/LGyF9vJ1v68g==" saltValue="YCZR1LZdtBTD7+ynpZ7Xhg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144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178</v>
      </c>
      <c r="C9" s="102"/>
      <c r="D9" s="102"/>
      <c r="E9" s="102"/>
      <c r="F9" s="103"/>
      <c r="G9" s="25">
        <v>8.176320683581588E-3</v>
      </c>
      <c r="H9" s="14"/>
      <c r="I9" s="1"/>
    </row>
    <row r="10" spans="1:9" x14ac:dyDescent="0.25">
      <c r="A10" s="1"/>
      <c r="B10" s="101" t="s">
        <v>179</v>
      </c>
      <c r="C10" s="102"/>
      <c r="D10" s="102"/>
      <c r="E10" s="102"/>
      <c r="F10" s="103"/>
      <c r="G10" s="25">
        <v>6.3784591405582382E-3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8"/>
      <c r="C13" s="108"/>
      <c r="D13" s="108"/>
      <c r="E13" s="108"/>
      <c r="F13" s="108"/>
      <c r="G13" s="108"/>
      <c r="H13" s="108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EDmR5GdzlJhy0LdsFEQ/cY3/MC6cSYF/dd4GvNHU/JvcF78mz4zhy6y6Go7usGDBPmogPUj9x6rR5mAWk2wcMQ==" saltValue="UfLjleW3NtltVLMSGXTcS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2019-10-14T09:44:58Z</dcterms:modified>
</cp:coreProperties>
</file>