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HOFOR Spildevand Albertslund AS (S04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2" i="11" l="1"/>
  <c r="E11" i="11"/>
  <c r="E19" i="40" l="1"/>
  <c r="E16" i="40" l="1"/>
  <c r="E12" i="40"/>
  <c r="E13" i="11" l="1"/>
  <c r="E14" i="11"/>
  <c r="E10" i="1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6" i="39"/>
  <c r="C36" i="39"/>
  <c r="E28" i="39"/>
  <c r="C28" i="39"/>
  <c r="E20" i="39"/>
  <c r="E22" i="39" s="1"/>
  <c r="C20" i="39"/>
  <c r="C22" i="39" s="1"/>
  <c r="E12" i="39"/>
  <c r="E14" i="39" s="1"/>
  <c r="C12" i="39"/>
  <c r="C14" i="39" s="1"/>
  <c r="E38" i="39" l="1"/>
  <c r="E37" i="39"/>
  <c r="C38" i="39"/>
  <c r="C37" i="39"/>
  <c r="E30" i="39"/>
  <c r="E29" i="39"/>
  <c r="C30" i="39"/>
  <c r="C29" i="39"/>
  <c r="E21" i="39"/>
  <c r="E23" i="39" s="1"/>
  <c r="C23" i="15" s="1"/>
  <c r="E13" i="39"/>
  <c r="E15" i="39" s="1"/>
  <c r="C27" i="2" s="1"/>
  <c r="C21" i="39"/>
  <c r="C23" i="39" s="1"/>
  <c r="C22" i="15" s="1"/>
  <c r="C13" i="39"/>
  <c r="E31" i="39" l="1"/>
  <c r="C23" i="22" s="1"/>
  <c r="C39" i="39"/>
  <c r="C22" i="23" s="1"/>
  <c r="C31" i="39"/>
  <c r="C22" i="22" s="1"/>
  <c r="E39" i="39"/>
  <c r="C23" i="23" s="1"/>
  <c r="C15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5" i="11" l="1"/>
  <c r="C10" i="37" s="1"/>
  <c r="C13" i="37" s="1"/>
  <c r="C14" i="37" s="1"/>
  <c r="C10" i="2" s="1"/>
  <c r="G15" i="11"/>
  <c r="E11" i="21" l="1"/>
  <c r="C11" i="21"/>
  <c r="E11" i="29"/>
  <c r="C11" i="29"/>
  <c r="C15" i="19"/>
  <c r="C16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5" i="11"/>
  <c r="E10" i="37" s="1"/>
  <c r="E13" i="37" s="1"/>
  <c r="E14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<sst xmlns="http://schemas.openxmlformats.org/spreadsheetml/2006/main" count="686" uniqueCount="273">
  <si>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</si>
  <si>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</si>
  <si>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</si>
  <si>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</si>
  <si>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</si>
  <si>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</si>
  <si>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</si>
  <si>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</si>
  <si>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</si>
  <si>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</si>
  <si>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</si>
  <si>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</si>
  <si>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</si>
  <si>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</si>
  <si>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</si>
  <si>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</si>
  <si>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</si>
  <si>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</si>
  <si>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</si>
  <si>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</si>
  <si>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</si>
  <si>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</si>
  <si>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</si>
  <si>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</si>
  <si>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</si>
  <si>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</si>
  <si>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</si>
  <si>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</si>
  <si>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</si>
  <si>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</si>
  <si>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</si>
  <si>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</si>
  <si>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</si>
  <si>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</si>
  <si>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</si>
  <si>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</si>
  <si>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</si>
  <si>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</si>
  <si>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</si>
  <si>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</si>
  <si>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</si>
  <si>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</si>
  <si>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</si>
  <si>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</si>
  <si>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</si>
  <si>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</si>
  <si>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</si>
  <si>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</si>
  <si>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</si>
  <si>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</si>
  <si>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</si>
  <si>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</si>
  <si>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</si>
  <si>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</si>
  <si>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</si>
  <si>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</si>
  <si>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</si>
  <si>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</si>
  <si>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</si>
  <si>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</si>
  <si>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</si>
  <si>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</si>
  <si>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</si>
  <si>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</si>
  <si>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</si>
  <si>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</si>
  <si>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</si>
  <si>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</si>
  <si>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</si>
  <si>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</si>
  <si>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</si>
  <si>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</si>
  <si>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</si>
  <si>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</si>
  <si>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</si>
  <si>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</si>
  <si>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</si>
  <si>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</si>
  <si>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</si>
  <si>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</si>
  <si>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</si>
  <si>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</si>
  <si>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</si>
  <si>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</si>
  <si>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</si>
  <si>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</si>
  <si>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</si>
  <si>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</si>
  <si>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</si>
  <si>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</si>
  <si>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</si>
  <si>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</si>
  <si>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</si>
  <si>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</si>
  <si>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</si>
  <si>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</si>
  <si>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</si>
  <si>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</si>
  <si>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</si>
  <si>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</si>
  <si>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</si>
  <si>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</si>
  <si>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</si>
  <si>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</si>
  <si>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</si>
  <si>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</si>
  <si>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</si>
  <si>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</si>
  <si>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</si>
  <si>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</si>
  <si>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</si>
  <si>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</si>
  <si>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</si>
  <si>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</si>
  <si>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</si>
  <si>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</si>
  <si>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</si>
  <si>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</si>
  <si>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</si>
  <si>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</si>
  <si>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</si>
  <si>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</si>
  <si>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</si>
  <si>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</si>
  <si>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</si>
  <si>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</si>
  <si>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</si>
  <si>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</si>
  <si>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</si>
  <si>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</si>
  <si>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</si>
  <si>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</si>
  <si>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</si>
  <si>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</si>
  <si>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</si>
  <si>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</si>
  <si>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</si>
  <si>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</si>
  <si>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</si>
  <si>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</si>
  <si>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</si>
  <si>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</si>
  <si>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</si>
  <si>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</si>
  <si>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</si>
  <si>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</si>
  <si>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</si>
  <si>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</si>
  <si>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</si>
  <si>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</si>
  <si>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</si>
  <si>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</si>
  <si>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</si>
  <si>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</si>
  <si>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</si>
  <si>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</si>
  <si>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</si>
  <si>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</si>
  <si>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</si>
  <si>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</si>
  <si>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</si>
  <si>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</si>
  <si>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</si>
  <si>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</si>
  <si>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</si>
  <si>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</si>
  <si>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</si>
  <si>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</si>
  <si>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</si>
  <si>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</si>
  <si>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</si>
  <si>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</si>
  <si>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</si>
  <si>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</si>
  <si>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</si>
  <si>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</si>
  <si>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</si>
  <si>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</si>
  <si>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</si>
  <si>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</si>
  <si>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</si>
  <si>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</si>
  <si>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</si>
  <si>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</si>
  <si>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</si>
  <si>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</si>
  <si>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</si>
  <si>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</si>
  <si>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</si>
  <si>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</si>
  <si>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</si>
  <si>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</si>
  <si>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</si>
  <si>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</si>
  <si>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</si>
  <si>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</si>
  <si>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</si>
  <si>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</si>
  <si>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</si>
  <si>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</si>
  <si>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</si>
  <si>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</si>
  <si>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</si>
  <si>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</si>
  <si>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</si>
  <si>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</si>
  <si>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</si>
  <si>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</si>
  <si>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</si>
  <si>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</si>
  <si>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</si>
  <si>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</si>
  <si>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</si>
  <si>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</si>
  <si>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</si>
  <si>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</si>
  <si>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</si>
  <si>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</si>
  <si>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</si>
  <si>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</si>
  <si>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</si>
  <si>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</si>
  <si>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</si>
  <si>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</si>
  <si>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</si>
  <si>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</si>
  <si>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</si>
  <si>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</si>
  <si>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</si>
  <si>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</si>
  <si>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</si>
  <si>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</si>
  <si>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</si>
  <si>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</si>
  <si>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</si>
  <si>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</si>
  <si>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</si>
  <si>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</si>
  <si>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</si>
  <si>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</si>
  <si>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</si>
  <si>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</si>
  <si>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</si>
  <si>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</si>
  <si>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</si>
  <si>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</si>
  <si>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</si>
  <si>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</si>
  <si>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</si>
  <si>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</si>
  <si>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</si>
  <si>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</si>
  <si>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</si>
  <si>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</si>
  <si>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</si>
  <si>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</si>
  <si>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</si>
  <si>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</si>
  <si>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</si>
  <si>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Afgift til Forsyningssekretariatet</t>
  </si>
  <si>
    <t>Køb af ydelser og produkter fra andre vandselskaber reguleret af vandsektorloven</t>
  </si>
  <si>
    <t>Selskabsskat</t>
  </si>
  <si>
    <t>Ejendomsskatter</t>
  </si>
  <si>
    <t>Tjenestemandspensioner</t>
  </si>
  <si>
    <t>Oprensning af Bassin Ndr Glostrup</t>
  </si>
  <si>
    <t>Oprensning af Rådhussøen</t>
  </si>
  <si>
    <t>Ingen engangstillæg</t>
  </si>
  <si>
    <t>Indløb-/udløbsarrangement</t>
  </si>
  <si>
    <t>Jordbassin Klasse A</t>
  </si>
  <si>
    <t>Ledningsnet &gt; Ø 1600 mm (rørbassiner og transportledninger)</t>
  </si>
  <si>
    <t>Pumpestationer i brønde (&lt; 6,25 m2), SRO</t>
  </si>
  <si>
    <t>Software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</si>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</sst>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172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52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23</v>
      </c>
      <c r="D14" s="70" t="s">
        <v>54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51</v>
      </c>
      <c r="D15" s="70" t="s">
        <v>135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53</v>
      </c>
      <c r="D16" s="70" t="s">
        <v>136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241</v>
      </c>
      <c r="D17" s="70" t="s">
        <v>63</v>
      </c>
      <c r="E17" s="71"/>
      <c r="F17" s="71"/>
      <c r="G17" s="72"/>
      <c r="H17" s="1"/>
      <c r="I17" s="1"/>
    </row>
    <row r="18" spans="1:9" x14ac:dyDescent="0.25">
      <c r="A18" s="1"/>
      <c r="B18" s="1"/>
      <c r="C18" s="6" t="s">
        <v>212</v>
      </c>
      <c r="D18" s="64" t="s">
        <v>180</v>
      </c>
      <c r="E18" s="65"/>
      <c r="F18" s="65"/>
      <c r="G18" s="66"/>
      <c r="H18" s="1"/>
      <c r="I18" s="1"/>
    </row>
    <row r="19" spans="1:9" x14ac:dyDescent="0.25">
      <c r="A19" s="1"/>
      <c r="B19" s="1"/>
      <c r="C19" s="6" t="s">
        <v>213</v>
      </c>
      <c r="D19" s="64" t="s">
        <v>181</v>
      </c>
      <c r="E19" s="65"/>
      <c r="F19" s="65"/>
      <c r="G19" s="66"/>
      <c r="H19" s="1"/>
      <c r="I19" s="1"/>
    </row>
    <row r="20" spans="1:9" x14ac:dyDescent="0.25">
      <c r="A20" s="1"/>
      <c r="B20" s="1"/>
      <c r="C20" s="6" t="s">
        <v>7</v>
      </c>
      <c r="D20" s="64" t="s">
        <v>10</v>
      </c>
      <c r="E20" s="65"/>
      <c r="F20" s="65"/>
      <c r="G20" s="66"/>
      <c r="H20" s="1"/>
      <c r="I20" s="1"/>
    </row>
    <row r="21" spans="1:9" x14ac:dyDescent="0.25">
      <c r="A21" s="1"/>
      <c r="B21" s="1"/>
      <c r="C21" s="6" t="s">
        <v>214</v>
      </c>
      <c r="D21" s="74" t="s">
        <v>17</v>
      </c>
      <c r="E21" s="75"/>
      <c r="F21" s="75"/>
      <c r="G21" s="76"/>
      <c r="H21" s="1"/>
      <c r="I21" s="1"/>
    </row>
    <row r="22" spans="1:9" x14ac:dyDescent="0.25">
      <c r="A22" s="1"/>
      <c r="B22" s="1"/>
      <c r="C22" s="6" t="s">
        <v>142</v>
      </c>
      <c r="D22" s="58" t="s">
        <v>176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249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55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215</v>
      </c>
      <c r="D25" s="58" t="s">
        <v>143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216</v>
      </c>
      <c r="D26" s="58" t="s">
        <v>144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217</v>
      </c>
      <c r="D27" s="58" t="s">
        <v>145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22</v>
      </c>
      <c r="D28" s="58" t="s">
        <v>56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58</v>
      </c>
      <c r="D29" s="58" t="s">
        <v>57</v>
      </c>
      <c r="E29" s="59"/>
      <c r="F29" s="59"/>
      <c r="G29" s="60"/>
      <c r="H29" s="1"/>
      <c r="I29" s="1"/>
    </row>
    <row r="30" spans="1:9" x14ac:dyDescent="0.25">
      <c r="A30" s="1"/>
      <c r="B30" s="1"/>
      <c r="C30" s="6" t="s">
        <v>59</v>
      </c>
      <c r="D30" s="67" t="s">
        <v>11</v>
      </c>
      <c r="E30" s="68"/>
      <c r="F30" s="68"/>
      <c r="G30" s="69"/>
      <c r="H30" s="1"/>
      <c r="I30" s="1"/>
    </row>
    <row r="31" spans="1:9" x14ac:dyDescent="0.25">
      <c r="A31" s="1"/>
      <c r="B31" s="1"/>
      <c r="C31" s="6" t="s">
        <v>175</v>
      </c>
      <c r="D31" s="61" t="s">
        <v>207</v>
      </c>
      <c r="E31" s="62"/>
      <c r="F31" s="62"/>
      <c r="G31" s="63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+zDRolKEkF3hUDohRCIo0v1h+cYEW8Nshiqp8ho6w5ArdNokERSNwZip2gCsROwXDXZ0ATEQjbGuiAN90h4cOQ==" saltValue="WZL27bp7wtrqXYbEJcY9xg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9" t="s">
        <v>220</v>
      </c>
      <c r="C3" s="79"/>
      <c r="D3" s="79"/>
      <c r="E3" s="1"/>
      <c r="F3" s="1"/>
    </row>
    <row r="4" spans="1:6" ht="15" customHeight="1" x14ac:dyDescent="0.25">
      <c r="A4" s="1"/>
      <c r="B4" s="79"/>
      <c r="C4" s="79"/>
      <c r="D4" s="7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4" t="s">
        <v>66</v>
      </c>
      <c r="C8" s="85"/>
      <c r="D8" s="86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37198</v>
      </c>
      <c r="D10" s="14" t="s">
        <v>3</v>
      </c>
      <c r="E10" s="1"/>
      <c r="F10" s="1"/>
    </row>
    <row r="11" spans="1:6" ht="26.25" x14ac:dyDescent="0.25">
      <c r="A11" s="1"/>
      <c r="B11" s="35" t="s">
        <v>260</v>
      </c>
      <c r="C11" s="9">
        <v>8219606</v>
      </c>
      <c r="D11" s="14" t="s">
        <v>3</v>
      </c>
      <c r="E11" s="1"/>
      <c r="F11" s="1"/>
    </row>
    <row r="12" spans="1:6" x14ac:dyDescent="0.25">
      <c r="A12" s="1"/>
      <c r="B12" s="35" t="s">
        <v>261</v>
      </c>
      <c r="C12" s="9">
        <v>4151615</v>
      </c>
      <c r="D12" s="14" t="s">
        <v>3</v>
      </c>
      <c r="E12" s="1"/>
      <c r="F12" s="1"/>
    </row>
    <row r="13" spans="1:6" x14ac:dyDescent="0.25">
      <c r="A13" s="1"/>
      <c r="B13" s="35" t="s">
        <v>262</v>
      </c>
      <c r="C13" s="9">
        <v>555</v>
      </c>
      <c r="D13" s="14" t="s">
        <v>3</v>
      </c>
      <c r="E13" s="1"/>
      <c r="F13" s="1"/>
    </row>
    <row r="14" spans="1:6" x14ac:dyDescent="0.25">
      <c r="A14" s="1"/>
      <c r="B14" s="53" t="s">
        <v>263</v>
      </c>
      <c r="C14" s="9">
        <v>106073</v>
      </c>
      <c r="D14" s="14" t="s">
        <v>3</v>
      </c>
      <c r="E14" s="1"/>
      <c r="F14" s="1"/>
    </row>
    <row r="15" spans="1:6" x14ac:dyDescent="0.25">
      <c r="A15" s="1"/>
      <c r="B15" s="40" t="s">
        <v>68</v>
      </c>
      <c r="C15" s="12">
        <f>SUM(C10:C14)</f>
        <v>12515047</v>
      </c>
      <c r="D15" s="13" t="s">
        <v>3</v>
      </c>
      <c r="E15" s="1"/>
      <c r="F15" s="1"/>
    </row>
    <row r="16" spans="1:6" x14ac:dyDescent="0.25">
      <c r="A16" s="1"/>
      <c r="B16" s="40" t="s">
        <v>69</v>
      </c>
      <c r="C16" s="12">
        <f>C15*(1+'Fane 15. Nøgletal'!C12)^2</f>
        <v>13012996.816390231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84" t="s">
        <v>236</v>
      </c>
      <c r="C19" s="85"/>
      <c r="D19" s="86"/>
      <c r="E19" s="1"/>
      <c r="F19" s="1"/>
    </row>
    <row r="20" spans="1:6" x14ac:dyDescent="0.25">
      <c r="A20" s="1"/>
      <c r="B20" s="53" t="s">
        <v>197</v>
      </c>
      <c r="C20" s="9">
        <v>259915</v>
      </c>
      <c r="D20" s="14" t="s">
        <v>3</v>
      </c>
      <c r="E20" s="1"/>
      <c r="F20" s="1"/>
    </row>
    <row r="21" spans="1:6" x14ac:dyDescent="0.25">
      <c r="A21" s="1"/>
      <c r="B21" s="53" t="s">
        <v>198</v>
      </c>
      <c r="C21" s="9">
        <v>260282</v>
      </c>
      <c r="D21" s="14" t="s">
        <v>3</v>
      </c>
      <c r="E21" s="1"/>
      <c r="F21" s="1"/>
    </row>
    <row r="22" spans="1:6" x14ac:dyDescent="0.25">
      <c r="A22" s="1"/>
      <c r="B22" s="53" t="s">
        <v>199</v>
      </c>
      <c r="C22" s="9">
        <v>260654</v>
      </c>
      <c r="D22" s="14" t="s">
        <v>3</v>
      </c>
      <c r="E22" s="1"/>
      <c r="F22" s="1"/>
    </row>
    <row r="23" spans="1:6" x14ac:dyDescent="0.25">
      <c r="A23" s="1"/>
      <c r="B23" s="53" t="s">
        <v>200</v>
      </c>
      <c r="C23" s="9">
        <v>261031</v>
      </c>
      <c r="D23" s="14" t="s">
        <v>3</v>
      </c>
      <c r="E23" s="1"/>
      <c r="F23" s="1"/>
    </row>
    <row r="24" spans="1:6" x14ac:dyDescent="0.25">
      <c r="A24" s="1"/>
      <c r="B24" s="84"/>
      <c r="C24" s="85"/>
      <c r="D24" s="8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84" t="s">
        <v>196</v>
      </c>
      <c r="C27" s="85"/>
      <c r="D27" s="86"/>
      <c r="E27" s="1"/>
      <c r="F27" s="1"/>
    </row>
    <row r="28" spans="1:6" x14ac:dyDescent="0.25">
      <c r="A28" s="1"/>
      <c r="B28" s="53" t="s">
        <v>197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3" t="s">
        <v>198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3" t="s">
        <v>199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3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84"/>
      <c r="C32" s="85"/>
      <c r="D32" s="8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zMh/q88u41qfU79AJixToiSPdK8tG2zl9adR3h179lGLsWHVOrKmQao/CExwGU0nJR7Nsz4ueoM/gahV6odUCw==" saltValue="prXCdg7BHhdQEntD3bpqR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226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183</v>
      </c>
      <c r="C8" s="85"/>
      <c r="D8" s="85"/>
      <c r="E8" s="85"/>
      <c r="F8" s="86"/>
      <c r="G8" s="1"/>
    </row>
    <row r="9" spans="1:7" x14ac:dyDescent="0.25">
      <c r="A9" s="1"/>
      <c r="B9" s="97" t="s">
        <v>184</v>
      </c>
      <c r="C9" s="98"/>
      <c r="D9" s="99"/>
      <c r="E9" s="9">
        <v>47802196.779752739</v>
      </c>
      <c r="F9" s="14" t="s">
        <v>3</v>
      </c>
      <c r="G9" s="1"/>
    </row>
    <row r="10" spans="1:7" x14ac:dyDescent="0.25">
      <c r="A10" s="1"/>
      <c r="B10" s="97" t="s">
        <v>185</v>
      </c>
      <c r="C10" s="98"/>
      <c r="D10" s="99"/>
      <c r="E10" s="9">
        <v>35105837</v>
      </c>
      <c r="F10" s="14" t="s">
        <v>3</v>
      </c>
      <c r="G10" s="1"/>
    </row>
    <row r="11" spans="1:7" x14ac:dyDescent="0.25">
      <c r="A11" s="1"/>
      <c r="B11" s="97" t="s">
        <v>50</v>
      </c>
      <c r="C11" s="98"/>
      <c r="D11" s="99"/>
      <c r="E11" s="9">
        <v>0</v>
      </c>
      <c r="F11" s="14" t="s">
        <v>3</v>
      </c>
      <c r="G11" s="1"/>
    </row>
    <row r="12" spans="1:7" x14ac:dyDescent="0.25">
      <c r="A12" s="1"/>
      <c r="B12" s="87" t="s">
        <v>186</v>
      </c>
      <c r="C12" s="88"/>
      <c r="D12" s="89"/>
      <c r="E12" s="10">
        <f>E9-(E10-E11)</f>
        <v>12696359.779752739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1" t="s">
        <v>208</v>
      </c>
      <c r="C14" s="82"/>
      <c r="D14" s="82"/>
      <c r="E14" s="82"/>
      <c r="F14" s="83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73</v>
      </c>
      <c r="C17" s="85"/>
      <c r="D17" s="85"/>
      <c r="E17" s="85"/>
      <c r="F17" s="86"/>
      <c r="G17" s="1"/>
    </row>
    <row r="18" spans="1:7" x14ac:dyDescent="0.25">
      <c r="A18" s="1"/>
      <c r="B18" s="97" t="s">
        <v>74</v>
      </c>
      <c r="C18" s="98"/>
      <c r="D18" s="99"/>
      <c r="E18" s="9">
        <v>58530428.411767334</v>
      </c>
      <c r="F18" s="14" t="s">
        <v>3</v>
      </c>
      <c r="G18" s="1"/>
    </row>
    <row r="19" spans="1:7" x14ac:dyDescent="0.25">
      <c r="A19" s="1"/>
      <c r="B19" s="97" t="s">
        <v>75</v>
      </c>
      <c r="C19" s="98"/>
      <c r="D19" s="99"/>
      <c r="E19" s="9">
        <v>35968044</v>
      </c>
      <c r="F19" s="14" t="s">
        <v>3</v>
      </c>
      <c r="G19" s="1"/>
    </row>
    <row r="20" spans="1:7" x14ac:dyDescent="0.25">
      <c r="A20" s="1"/>
      <c r="B20" s="97" t="s">
        <v>50</v>
      </c>
      <c r="C20" s="98"/>
      <c r="D20" s="99"/>
      <c r="E20" s="9">
        <v>0</v>
      </c>
      <c r="F20" s="14" t="s">
        <v>3</v>
      </c>
      <c r="G20" s="1"/>
    </row>
    <row r="21" spans="1:7" x14ac:dyDescent="0.25">
      <c r="A21" s="1"/>
      <c r="B21" s="87" t="s">
        <v>76</v>
      </c>
      <c r="C21" s="88"/>
      <c r="D21" s="89"/>
      <c r="E21" s="10">
        <f>E18-(E19-E20)</f>
        <v>22562384.411767334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179</v>
      </c>
      <c r="C25" s="85"/>
      <c r="D25" s="85"/>
      <c r="E25" s="85"/>
      <c r="F25" s="86"/>
      <c r="G25" s="1"/>
    </row>
    <row r="26" spans="1:7" x14ac:dyDescent="0.25">
      <c r="A26" s="1"/>
      <c r="B26" s="105" t="s">
        <v>174</v>
      </c>
      <c r="C26" s="106"/>
      <c r="D26" s="107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05" t="s">
        <v>204</v>
      </c>
      <c r="C27" s="106"/>
      <c r="D27" s="107"/>
      <c r="E27" s="9">
        <v>2</v>
      </c>
      <c r="F27" s="14" t="s">
        <v>28</v>
      </c>
      <c r="G27" s="1"/>
    </row>
    <row r="28" spans="1:7" x14ac:dyDescent="0.25">
      <c r="A28" s="1"/>
      <c r="B28" s="87" t="s">
        <v>251</v>
      </c>
      <c r="C28" s="88"/>
      <c r="D28" s="89"/>
      <c r="E28" s="10">
        <f>E26/E27</f>
        <v>0</v>
      </c>
      <c r="F28" s="17" t="s">
        <v>3</v>
      </c>
      <c r="G28" s="1"/>
    </row>
    <row r="29" spans="1:7" x14ac:dyDescent="0.25">
      <c r="A29" s="1"/>
      <c r="B29" s="108"/>
      <c r="C29" s="109"/>
      <c r="D29" s="109"/>
      <c r="E29" s="109"/>
      <c r="F29" s="110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Kcbb5qLCb2w/mKp9KCWc5neu+W1gRnb21x+8qTnzpVcYeMRTlzBB5cnCcImjd4oaLXLOmw1CrrFxSHFwZYZ68A==" saltValue="fzYcXtrTYYHh2AIqo/ijB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252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4" t="s">
        <v>177</v>
      </c>
      <c r="C9" s="85"/>
      <c r="D9" s="85"/>
      <c r="E9" s="85"/>
      <c r="F9" s="85"/>
      <c r="G9" s="1"/>
    </row>
    <row r="10" spans="1:7" x14ac:dyDescent="0.25">
      <c r="A10" s="1"/>
      <c r="B10" s="81" t="s">
        <v>201</v>
      </c>
      <c r="C10" s="82"/>
      <c r="D10" s="83"/>
      <c r="E10" s="7">
        <v>0</v>
      </c>
      <c r="F10" s="8" t="s">
        <v>3</v>
      </c>
      <c r="G10" s="1"/>
    </row>
    <row r="11" spans="1:7" x14ac:dyDescent="0.25">
      <c r="A11" s="1"/>
      <c r="B11" s="97" t="s">
        <v>202</v>
      </c>
      <c r="C11" s="98"/>
      <c r="D11" s="99"/>
      <c r="E11" s="7">
        <v>448376</v>
      </c>
      <c r="F11" s="8" t="s">
        <v>3</v>
      </c>
      <c r="G11" s="1"/>
    </row>
    <row r="12" spans="1:7" x14ac:dyDescent="0.25">
      <c r="A12" s="1"/>
      <c r="B12" s="87" t="s">
        <v>203</v>
      </c>
      <c r="C12" s="88"/>
      <c r="D12" s="89"/>
      <c r="E12" s="10">
        <f>E11-E10</f>
        <v>448376</v>
      </c>
      <c r="F12" s="11" t="s">
        <v>3</v>
      </c>
      <c r="G12" s="1"/>
    </row>
    <row r="13" spans="1:7" x14ac:dyDescent="0.25">
      <c r="A13" s="1"/>
      <c r="B13" s="84" t="s">
        <v>178</v>
      </c>
      <c r="C13" s="85"/>
      <c r="D13" s="85"/>
      <c r="E13" s="85"/>
      <c r="F13" s="85"/>
      <c r="G13" s="1"/>
    </row>
    <row r="14" spans="1:7" x14ac:dyDescent="0.25">
      <c r="A14" s="1"/>
      <c r="B14" s="97" t="s">
        <v>210</v>
      </c>
      <c r="C14" s="98"/>
      <c r="D14" s="99"/>
      <c r="E14" s="9">
        <v>0</v>
      </c>
      <c r="F14" s="8" t="s">
        <v>3</v>
      </c>
      <c r="G14" s="1"/>
    </row>
    <row r="15" spans="1:7" x14ac:dyDescent="0.25">
      <c r="A15" s="1"/>
      <c r="B15" s="81" t="s">
        <v>211</v>
      </c>
      <c r="C15" s="82"/>
      <c r="D15" s="83"/>
      <c r="E15" s="9">
        <v>113992</v>
      </c>
      <c r="F15" s="8" t="s">
        <v>3</v>
      </c>
      <c r="G15" s="1"/>
    </row>
    <row r="16" spans="1:7" x14ac:dyDescent="0.25">
      <c r="A16" s="1"/>
      <c r="B16" s="87" t="s">
        <v>203</v>
      </c>
      <c r="C16" s="88"/>
      <c r="D16" s="89"/>
      <c r="E16" s="10">
        <f>E15-E14</f>
        <v>113992</v>
      </c>
      <c r="F16" s="11" t="s">
        <v>3</v>
      </c>
      <c r="G16" s="1"/>
    </row>
    <row r="17" spans="1:7" ht="15" customHeight="1" x14ac:dyDescent="0.25">
      <c r="A17" s="1"/>
      <c r="B17" s="84" t="s">
        <v>173</v>
      </c>
      <c r="C17" s="85"/>
      <c r="D17" s="85"/>
      <c r="E17" s="85"/>
      <c r="F17" s="85"/>
      <c r="G17" s="1"/>
    </row>
    <row r="18" spans="1:7" ht="28.15" customHeight="1" x14ac:dyDescent="0.25">
      <c r="A18" s="1"/>
      <c r="B18" s="81" t="s">
        <v>258</v>
      </c>
      <c r="C18" s="82"/>
      <c r="D18" s="83"/>
      <c r="E18" s="9">
        <v>0</v>
      </c>
      <c r="F18" s="8" t="s">
        <v>3</v>
      </c>
      <c r="G18" s="1"/>
    </row>
    <row r="19" spans="1:7" ht="29.25" customHeight="1" x14ac:dyDescent="0.25">
      <c r="A19" s="1"/>
      <c r="B19" s="90" t="s">
        <v>182</v>
      </c>
      <c r="C19" s="91"/>
      <c r="D19" s="9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562368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qVXW/983ITTkao7i823wUAhaSnnP5HSmFB5YFyL2jfN5BZGhdDRELwRP9DkGGIxd0MyuqLftKvzZV832ZQknQ==" saltValue="YelPtYwU4N18Vn+Lg+mgvw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253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254</v>
      </c>
      <c r="C8" s="85"/>
      <c r="D8" s="85"/>
      <c r="E8" s="85"/>
      <c r="F8" s="85"/>
      <c r="G8" s="85"/>
      <c r="H8" s="86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x14ac:dyDescent="0.25">
      <c r="A10" s="1"/>
      <c r="B10" s="55" t="s">
        <v>267</v>
      </c>
      <c r="C10" s="56">
        <v>75</v>
      </c>
      <c r="D10" s="9">
        <v>897010</v>
      </c>
      <c r="E10" s="9">
        <f>IFERROR(D10/C10,0)</f>
        <v>11960.133333333333</v>
      </c>
      <c r="F10" s="9">
        <v>0</v>
      </c>
      <c r="G10" s="9">
        <v>11792</v>
      </c>
      <c r="H10" s="14" t="s">
        <v>3</v>
      </c>
      <c r="I10" s="1"/>
    </row>
    <row r="11" spans="1:9" x14ac:dyDescent="0.25">
      <c r="A11" s="1"/>
      <c r="B11" s="55" t="s">
        <v>268</v>
      </c>
      <c r="C11" s="56">
        <v>50</v>
      </c>
      <c r="D11" s="9">
        <v>335211</v>
      </c>
      <c r="E11" s="9">
        <f t="shared" ref="E11:E12" si="0">IFERROR(D11/C11,0)</f>
        <v>6704.22</v>
      </c>
      <c r="F11" s="9">
        <v>0</v>
      </c>
      <c r="G11" s="9">
        <v>4407</v>
      </c>
      <c r="H11" s="14" t="s">
        <v>3</v>
      </c>
      <c r="I11" s="1"/>
    </row>
    <row r="12" spans="1:9" ht="39" x14ac:dyDescent="0.25">
      <c r="A12" s="1"/>
      <c r="B12" s="55" t="s">
        <v>269</v>
      </c>
      <c r="C12" s="56">
        <v>75</v>
      </c>
      <c r="D12" s="9">
        <v>819743</v>
      </c>
      <c r="E12" s="9">
        <f t="shared" si="0"/>
        <v>10929.906666666666</v>
      </c>
      <c r="F12" s="9">
        <v>0</v>
      </c>
      <c r="G12" s="9">
        <v>10777</v>
      </c>
      <c r="H12" s="14" t="s">
        <v>3</v>
      </c>
      <c r="I12" s="1"/>
    </row>
    <row r="13" spans="1:9" ht="26.25" x14ac:dyDescent="0.25">
      <c r="A13" s="1"/>
      <c r="B13" s="55" t="s">
        <v>270</v>
      </c>
      <c r="C13" s="56">
        <v>10</v>
      </c>
      <c r="D13" s="9">
        <v>36319</v>
      </c>
      <c r="E13" s="9">
        <f t="shared" ref="E13:E14" si="1">IFERROR(D13/C13,0)</f>
        <v>3631.9</v>
      </c>
      <c r="F13" s="9">
        <v>0</v>
      </c>
      <c r="G13" s="9">
        <v>477</v>
      </c>
      <c r="H13" s="14" t="s">
        <v>3</v>
      </c>
      <c r="I13" s="1"/>
    </row>
    <row r="14" spans="1:9" x14ac:dyDescent="0.25">
      <c r="A14" s="1"/>
      <c r="B14" s="55" t="s">
        <v>271</v>
      </c>
      <c r="C14" s="56">
        <v>5</v>
      </c>
      <c r="D14" s="9">
        <v>1315182</v>
      </c>
      <c r="E14" s="9">
        <f t="shared" si="1"/>
        <v>263036.40000000002</v>
      </c>
      <c r="F14" s="9">
        <v>0</v>
      </c>
      <c r="G14" s="9">
        <v>17290</v>
      </c>
      <c r="H14" s="14" t="s">
        <v>3</v>
      </c>
      <c r="I14" s="1"/>
    </row>
    <row r="15" spans="1:9" x14ac:dyDescent="0.25">
      <c r="A15" s="1"/>
      <c r="B15" s="84" t="s">
        <v>255</v>
      </c>
      <c r="C15" s="85"/>
      <c r="D15" s="86"/>
      <c r="E15" s="12">
        <f>SUM(E10:E14)</f>
        <v>296262.56</v>
      </c>
      <c r="F15" s="12">
        <f>SUM(F10:F14)</f>
        <v>0</v>
      </c>
      <c r="G15" s="12">
        <f>SUM(G10:G14)</f>
        <v>44743</v>
      </c>
      <c r="H15" s="13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ghIN09q0z4CYCx0Pua6FAwg8RQQKPrch/yqpNrOVi0E/0xwcDgmJoW9XuXXIZcCXk196UZ9Tj4bQn3UHiwJ/Q==" saltValue="6yPrujAhPKbTOO00NK5gHQ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225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272</v>
      </c>
      <c r="C10" s="24">
        <f>'Fane 9. Anlægsprojekter'!F15</f>
        <v>0</v>
      </c>
      <c r="D10" s="14" t="s">
        <v>3</v>
      </c>
      <c r="E10" s="9">
        <f>SUM('Fane 9. Anlægsprojekter'!E15,'Fane 9. Anlægsprojekter'!G15)</f>
        <v>341005.56</v>
      </c>
      <c r="F10" s="14" t="s">
        <v>3</v>
      </c>
      <c r="G10" s="1"/>
    </row>
    <row r="11" spans="1:7" x14ac:dyDescent="0.25">
      <c r="A11" s="1"/>
      <c r="B11" s="57" t="s">
        <v>264</v>
      </c>
      <c r="C11" s="24">
        <v>8928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27" t="s">
        <v>265</v>
      </c>
      <c r="C12" s="24">
        <v>68170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0" t="s">
        <v>60</v>
      </c>
      <c r="C13" s="12">
        <f>SUM(C10:C12)</f>
        <v>77098</v>
      </c>
      <c r="D13" s="13" t="s">
        <v>3</v>
      </c>
      <c r="E13" s="12">
        <f>SUM(E10:E12)</f>
        <v>341005.56</v>
      </c>
      <c r="F13" s="13" t="s">
        <v>3</v>
      </c>
      <c r="G13" s="1"/>
    </row>
    <row r="14" spans="1:7" x14ac:dyDescent="0.25">
      <c r="A14" s="1"/>
      <c r="B14" s="40" t="s">
        <v>70</v>
      </c>
      <c r="C14" s="12">
        <f>C13*(1+'Fane 15. Nøgletal'!C12)</f>
        <v>78616.830600000001</v>
      </c>
      <c r="D14" s="13" t="s">
        <v>3</v>
      </c>
      <c r="E14" s="12">
        <f>E13*(1+'Fane 15. Nøgletal'!C12)</f>
        <v>347723.36953200004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LVZh4XZdcqOgQWQd6zq7AtvwgkaMe2kJ2Sb1yaznKSMeqRtt4fV9hreZ6EnGF+l4DLEorWf+b1Ja6m4JHCnEw==" saltValue="TN9CprAqpRKVKwE+d7Jp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224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187</v>
      </c>
      <c r="C8" s="85"/>
      <c r="D8" s="85"/>
      <c r="E8" s="85"/>
      <c r="F8" s="86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264</v>
      </c>
      <c r="C10" s="24">
        <v>178550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7" t="s">
        <v>265</v>
      </c>
      <c r="C11" s="24">
        <v>1363405</v>
      </c>
      <c r="D11" s="14" t="s">
        <v>3</v>
      </c>
      <c r="E11" s="9">
        <v>0</v>
      </c>
      <c r="F11" s="14" t="s">
        <v>3</v>
      </c>
      <c r="G11" s="1"/>
    </row>
    <row r="12" spans="1:7" x14ac:dyDescent="0.25">
      <c r="A12" s="1"/>
      <c r="B12" s="40" t="s">
        <v>191</v>
      </c>
      <c r="C12" s="12">
        <f>SUM(C10:C11)</f>
        <v>1541955</v>
      </c>
      <c r="D12" s="13" t="s">
        <v>3</v>
      </c>
      <c r="E12" s="12">
        <f>SUM(E10:E11)</f>
        <v>0</v>
      </c>
      <c r="F12" s="13" t="s">
        <v>3</v>
      </c>
      <c r="G12" s="1"/>
    </row>
    <row r="13" spans="1:7" x14ac:dyDescent="0.25">
      <c r="A13" s="1"/>
      <c r="B13" s="29" t="s">
        <v>10</v>
      </c>
      <c r="C13" s="30">
        <f>-C12*'Fane 5. Individuelt eff. krav'!G11</f>
        <v>0</v>
      </c>
      <c r="D13" s="31" t="s">
        <v>3</v>
      </c>
      <c r="E13" s="30">
        <f>-E12*'Fane 5. Individuelt eff. krav'!G11</f>
        <v>0</v>
      </c>
      <c r="F13" s="31" t="s">
        <v>3</v>
      </c>
      <c r="G13" s="1"/>
    </row>
    <row r="14" spans="1:7" x14ac:dyDescent="0.25">
      <c r="A14" s="1"/>
      <c r="B14" s="29" t="s">
        <v>195</v>
      </c>
      <c r="C14" s="30">
        <f>-C12*'Fane 15. Nøgletal'!C25</f>
        <v>-30839.100000000002</v>
      </c>
      <c r="D14" s="31" t="s">
        <v>3</v>
      </c>
      <c r="E14" s="30">
        <f>-E12*'Fane 15. Nøgletal'!C20</f>
        <v>0</v>
      </c>
      <c r="F14" s="31" t="s">
        <v>3</v>
      </c>
      <c r="G14" s="1"/>
    </row>
    <row r="15" spans="1:7" x14ac:dyDescent="0.25">
      <c r="A15" s="1"/>
      <c r="B15" s="40" t="s">
        <v>192</v>
      </c>
      <c r="C15" s="12">
        <f>SUM(C12:C14)*(1+'Fane 15. Nøgletal'!C12)^2</f>
        <v>1571240.3154296309</v>
      </c>
      <c r="D15" s="13" t="s">
        <v>3</v>
      </c>
      <c r="E15" s="12">
        <f>SUM(E12:E14)*(1+'Fane 15. Nøgletal'!C12)^2</f>
        <v>0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4" t="s">
        <v>188</v>
      </c>
      <c r="C17" s="85"/>
      <c r="D17" s="85"/>
      <c r="E17" s="85"/>
      <c r="F17" s="86"/>
      <c r="G17" s="1"/>
    </row>
    <row r="18" spans="1:7" x14ac:dyDescent="0.25">
      <c r="A18" s="1"/>
      <c r="B18" s="51" t="s">
        <v>25</v>
      </c>
      <c r="C18" s="51" t="s">
        <v>16</v>
      </c>
      <c r="D18" s="52"/>
      <c r="E18" s="51" t="s">
        <v>48</v>
      </c>
      <c r="F18" s="39"/>
      <c r="G18" s="1"/>
    </row>
    <row r="19" spans="1:7" x14ac:dyDescent="0.25">
      <c r="A19" s="1"/>
      <c r="B19" s="27" t="s">
        <v>266</v>
      </c>
      <c r="C19" s="24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40" t="s">
        <v>191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9" t="s">
        <v>10</v>
      </c>
      <c r="C21" s="30">
        <f>-C20*'Fane 5. Individuelt eff. krav'!G11</f>
        <v>0</v>
      </c>
      <c r="D21" s="31" t="s">
        <v>3</v>
      </c>
      <c r="E21" s="30">
        <f>-E20*'Fane 5. Individuelt eff. krav'!G11</f>
        <v>0</v>
      </c>
      <c r="F21" s="31" t="s">
        <v>3</v>
      </c>
      <c r="G21" s="1"/>
    </row>
    <row r="22" spans="1:7" x14ac:dyDescent="0.25">
      <c r="A22" s="1"/>
      <c r="B22" s="29" t="s">
        <v>195</v>
      </c>
      <c r="C22" s="30">
        <f>-C20*'Fane 15. Nøgletal'!C25</f>
        <v>0</v>
      </c>
      <c r="D22" s="31" t="s">
        <v>3</v>
      </c>
      <c r="E22" s="30">
        <f>-E20*'Fane 15. Nøgletal'!C20</f>
        <v>0</v>
      </c>
      <c r="F22" s="31" t="s">
        <v>3</v>
      </c>
      <c r="G22" s="1"/>
    </row>
    <row r="23" spans="1:7" x14ac:dyDescent="0.25">
      <c r="A23" s="1"/>
      <c r="B23" s="40" t="s">
        <v>193</v>
      </c>
      <c r="C23" s="12">
        <f>SUM(C20:C22)*(1+'Fane 15. Nøgletal'!C12)^3</f>
        <v>0</v>
      </c>
      <c r="D23" s="13" t="s">
        <v>3</v>
      </c>
      <c r="E23" s="12">
        <f>SUM(E20:E22)*(1+'Fane 15. Nøgletal'!C12)^3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4" t="s">
        <v>189</v>
      </c>
      <c r="C25" s="85"/>
      <c r="D25" s="85"/>
      <c r="E25" s="85"/>
      <c r="F25" s="86"/>
      <c r="G25" s="1"/>
    </row>
    <row r="26" spans="1:7" x14ac:dyDescent="0.25">
      <c r="A26" s="1"/>
      <c r="B26" s="51" t="s">
        <v>25</v>
      </c>
      <c r="C26" s="51" t="s">
        <v>16</v>
      </c>
      <c r="D26" s="52"/>
      <c r="E26" s="51" t="s">
        <v>48</v>
      </c>
      <c r="F26" s="39"/>
      <c r="G26" s="1"/>
    </row>
    <row r="27" spans="1:7" x14ac:dyDescent="0.25">
      <c r="A27" s="1"/>
      <c r="B27" s="27" t="s">
        <v>266</v>
      </c>
      <c r="C27" s="24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40" t="s">
        <v>191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9" t="s">
        <v>10</v>
      </c>
      <c r="C29" s="30">
        <f>-C28*'Fane 5. Individuelt eff. krav'!G11</f>
        <v>0</v>
      </c>
      <c r="D29" s="31" t="s">
        <v>3</v>
      </c>
      <c r="E29" s="30">
        <f>-E28*'Fane 5. Individuelt eff. krav'!G11</f>
        <v>0</v>
      </c>
      <c r="F29" s="31" t="s">
        <v>3</v>
      </c>
      <c r="G29" s="1"/>
    </row>
    <row r="30" spans="1:7" x14ac:dyDescent="0.25">
      <c r="A30" s="1"/>
      <c r="B30" s="29" t="s">
        <v>195</v>
      </c>
      <c r="C30" s="30">
        <f>-C28*'Fane 15. Nøgletal'!C25</f>
        <v>0</v>
      </c>
      <c r="D30" s="31" t="s">
        <v>3</v>
      </c>
      <c r="E30" s="30">
        <f>-E28*'Fane 15. Nøgletal'!C20</f>
        <v>0</v>
      </c>
      <c r="F30" s="31" t="s">
        <v>3</v>
      </c>
      <c r="G30" s="1"/>
    </row>
    <row r="31" spans="1:7" x14ac:dyDescent="0.25">
      <c r="A31" s="1"/>
      <c r="B31" s="40" t="s">
        <v>193</v>
      </c>
      <c r="C31" s="12">
        <f>SUM(C28:C30)*(1+'Fane 15. Nøgletal'!C12)^4</f>
        <v>0</v>
      </c>
      <c r="D31" s="13" t="s">
        <v>3</v>
      </c>
      <c r="E31" s="12">
        <f>SUM(E28:E30)*(1+'Fane 15. Nøgletal'!C12)^4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84" t="s">
        <v>190</v>
      </c>
      <c r="C33" s="85"/>
      <c r="D33" s="85"/>
      <c r="E33" s="85"/>
      <c r="F33" s="86"/>
      <c r="G33" s="1"/>
    </row>
    <row r="34" spans="1:7" x14ac:dyDescent="0.25">
      <c r="A34" s="1"/>
      <c r="B34" s="51" t="s">
        <v>25</v>
      </c>
      <c r="C34" s="51" t="s">
        <v>16</v>
      </c>
      <c r="D34" s="52"/>
      <c r="E34" s="51" t="s">
        <v>48</v>
      </c>
      <c r="F34" s="39"/>
      <c r="G34" s="1"/>
    </row>
    <row r="35" spans="1:7" x14ac:dyDescent="0.25">
      <c r="A35" s="1"/>
      <c r="B35" s="27" t="s">
        <v>266</v>
      </c>
      <c r="C35" s="24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40" t="s">
        <v>191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9" t="s">
        <v>10</v>
      </c>
      <c r="C37" s="30">
        <f>-C36*'Fane 5. Individuelt eff. krav'!G11</f>
        <v>0</v>
      </c>
      <c r="D37" s="31" t="s">
        <v>3</v>
      </c>
      <c r="E37" s="30">
        <f>-E36*'Fane 5. Individuelt eff. krav'!G11</f>
        <v>0</v>
      </c>
      <c r="F37" s="31" t="s">
        <v>3</v>
      </c>
      <c r="G37" s="1"/>
    </row>
    <row r="38" spans="1:7" x14ac:dyDescent="0.25">
      <c r="A38" s="1"/>
      <c r="B38" s="29" t="s">
        <v>195</v>
      </c>
      <c r="C38" s="30">
        <f>-C36*'Fane 15. Nøgletal'!C25</f>
        <v>0</v>
      </c>
      <c r="D38" s="31" t="s">
        <v>3</v>
      </c>
      <c r="E38" s="30">
        <f>-E36*'Fane 15. Nøgletal'!C20</f>
        <v>0</v>
      </c>
      <c r="F38" s="31" t="s">
        <v>3</v>
      </c>
      <c r="G38" s="1"/>
    </row>
    <row r="39" spans="1:7" x14ac:dyDescent="0.25">
      <c r="A39" s="1"/>
      <c r="B39" s="40" t="s">
        <v>193</v>
      </c>
      <c r="C39" s="12">
        <f>SUM(C36:C38)*(1+'Fane 15. Nøgletal'!C12)^5</f>
        <v>0</v>
      </c>
      <c r="D39" s="13" t="s">
        <v>3</v>
      </c>
      <c r="E39" s="12">
        <f>SUM(E36:E38)*(1+'Fane 15. Nøgletal'!C12)^5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9kyFFbu1o93HYKkqoZv9YQv1aiOMwrT3K+LF2pIXO4DsT9gUPcKzj08qpvLW+xKbDswGir3EryEC2cbCR9sXGg==" saltValue="cwXEcvrUJaOqrQX8dMsVfg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227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93"/>
      <c r="C5" s="93"/>
      <c r="D5" s="93"/>
      <c r="E5" s="93"/>
      <c r="F5" s="9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160</v>
      </c>
      <c r="C8" s="85"/>
      <c r="D8" s="85"/>
      <c r="E8" s="85"/>
      <c r="F8" s="86"/>
      <c r="G8" s="1"/>
    </row>
    <row r="9" spans="1:7" x14ac:dyDescent="0.25">
      <c r="A9" s="1"/>
      <c r="B9" s="111" t="s">
        <v>159</v>
      </c>
      <c r="C9" s="112"/>
      <c r="D9" s="113"/>
      <c r="E9" s="9">
        <v>1218435.4868773213</v>
      </c>
      <c r="F9" s="14" t="s">
        <v>3</v>
      </c>
      <c r="G9" s="1"/>
    </row>
    <row r="10" spans="1:7" x14ac:dyDescent="0.25">
      <c r="A10" s="1"/>
      <c r="B10" s="94" t="s">
        <v>10</v>
      </c>
      <c r="C10" s="95"/>
      <c r="D10" s="96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4" t="s">
        <v>39</v>
      </c>
      <c r="C11" s="95"/>
      <c r="D11" s="96"/>
      <c r="E11" s="9">
        <f>-E9*'Fane 15. Nøgletal'!C25</f>
        <v>-24368.709737546425</v>
      </c>
      <c r="F11" s="14" t="s">
        <v>3</v>
      </c>
      <c r="G11" s="1"/>
    </row>
    <row r="12" spans="1:7" x14ac:dyDescent="0.25">
      <c r="A12" s="1"/>
      <c r="B12" s="84" t="s">
        <v>164</v>
      </c>
      <c r="C12" s="85"/>
      <c r="D12" s="86"/>
      <c r="E12" s="12">
        <f>SUM(E9:E11)*(1+'Fane 15. Nøgletal'!C12)^2</f>
        <v>1241576.4135346222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161</v>
      </c>
      <c r="C14" s="85"/>
      <c r="D14" s="85"/>
      <c r="E14" s="85"/>
      <c r="F14" s="86"/>
      <c r="G14" s="1"/>
    </row>
    <row r="15" spans="1:7" x14ac:dyDescent="0.25">
      <c r="A15" s="1"/>
      <c r="B15" s="111" t="s">
        <v>159</v>
      </c>
      <c r="C15" s="112"/>
      <c r="D15" s="113"/>
      <c r="E15" s="9">
        <v>1218435.4868773213</v>
      </c>
      <c r="F15" s="14" t="s">
        <v>3</v>
      </c>
      <c r="G15" s="1"/>
    </row>
    <row r="16" spans="1:7" x14ac:dyDescent="0.25">
      <c r="A16" s="1"/>
      <c r="B16" s="94" t="s">
        <v>10</v>
      </c>
      <c r="C16" s="95"/>
      <c r="D16" s="96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4" t="s">
        <v>39</v>
      </c>
      <c r="C17" s="95"/>
      <c r="D17" s="96"/>
      <c r="E17" s="9">
        <f>-E15*'Fane 15. Nøgletal'!C25</f>
        <v>-24368.709737546425</v>
      </c>
      <c r="F17" s="14" t="s">
        <v>3</v>
      </c>
      <c r="G17" s="1"/>
    </row>
    <row r="18" spans="1:7" x14ac:dyDescent="0.25">
      <c r="A18" s="1"/>
      <c r="B18" s="84" t="s">
        <v>165</v>
      </c>
      <c r="C18" s="85"/>
      <c r="D18" s="86"/>
      <c r="E18" s="12">
        <f>SUM(E15:E17)*(1+'Fane 15. Nøgletal'!C12)^3</f>
        <v>1266035.4688812541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162</v>
      </c>
      <c r="C20" s="85"/>
      <c r="D20" s="85"/>
      <c r="E20" s="85"/>
      <c r="F20" s="86"/>
      <c r="G20" s="1"/>
    </row>
    <row r="21" spans="1:7" x14ac:dyDescent="0.25">
      <c r="A21" s="1"/>
      <c r="B21" s="111" t="s">
        <v>159</v>
      </c>
      <c r="C21" s="112"/>
      <c r="D21" s="113"/>
      <c r="E21" s="9">
        <v>1218435.4868773213</v>
      </c>
      <c r="F21" s="14" t="s">
        <v>3</v>
      </c>
      <c r="G21" s="1"/>
    </row>
    <row r="22" spans="1:7" x14ac:dyDescent="0.25">
      <c r="A22" s="1"/>
      <c r="B22" s="94" t="s">
        <v>10</v>
      </c>
      <c r="C22" s="95"/>
      <c r="D22" s="96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4" t="s">
        <v>39</v>
      </c>
      <c r="C23" s="95"/>
      <c r="D23" s="96"/>
      <c r="E23" s="9">
        <f>-E21*'Fane 15. Nøgletal'!C25</f>
        <v>-24368.709737546425</v>
      </c>
      <c r="F23" s="14" t="s">
        <v>3</v>
      </c>
      <c r="G23" s="1"/>
    </row>
    <row r="24" spans="1:7" x14ac:dyDescent="0.25">
      <c r="A24" s="1"/>
      <c r="B24" s="84" t="s">
        <v>166</v>
      </c>
      <c r="C24" s="85"/>
      <c r="D24" s="86"/>
      <c r="E24" s="12">
        <f>SUM(E21:E23)*(1+'Fane 15. Nøgletal'!C12)^4</f>
        <v>1290976.367618215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163</v>
      </c>
      <c r="C26" s="85"/>
      <c r="D26" s="85"/>
      <c r="E26" s="85"/>
      <c r="F26" s="86"/>
      <c r="G26" s="1"/>
    </row>
    <row r="27" spans="1:7" x14ac:dyDescent="0.25">
      <c r="A27" s="1"/>
      <c r="B27" s="111" t="s">
        <v>159</v>
      </c>
      <c r="C27" s="112"/>
      <c r="D27" s="113"/>
      <c r="E27" s="9">
        <v>1218436.514205172</v>
      </c>
      <c r="F27" s="14" t="s">
        <v>3</v>
      </c>
      <c r="G27" s="1"/>
    </row>
    <row r="28" spans="1:7" x14ac:dyDescent="0.25">
      <c r="A28" s="1"/>
      <c r="B28" s="94" t="s">
        <v>10</v>
      </c>
      <c r="C28" s="95"/>
      <c r="D28" s="96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4" t="s">
        <v>39</v>
      </c>
      <c r="C29" s="95"/>
      <c r="D29" s="96"/>
      <c r="E29" s="9">
        <f>-E27*'Fane 15. Nøgletal'!C25</f>
        <v>-24368.73028410344</v>
      </c>
      <c r="F29" s="14" t="s">
        <v>3</v>
      </c>
      <c r="G29" s="1"/>
    </row>
    <row r="30" spans="1:7" x14ac:dyDescent="0.25">
      <c r="A30" s="1"/>
      <c r="B30" s="84" t="s">
        <v>167</v>
      </c>
      <c r="C30" s="85"/>
      <c r="D30" s="86"/>
      <c r="E30" s="12">
        <f>SUM(E27:E29)*(1+'Fane 15. Nøgletal'!C12)^5</f>
        <v>1316409.7119944959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Euq09HA/qF/7GKQzokItaPDeyfo+TOSthXklI60S5sdsmEAVve3QnEk8ex22IUFs/H8zur7udC3Q2YeZ+VCeFA==" saltValue="cruNARM6d7X62bewb9W9H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32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sILQMy+NbiC7Tf0uQaI5Yfsxoh6mkhC8hnks+5NjGcbPK+FiEccBhnBR5vI4tn18j7IDLTSgb+7xh5nox8RDAw==" saltValue="IoAN40G+dpR0zsSuo5vul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222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4" t="s">
        <v>169</v>
      </c>
      <c r="C8" s="85"/>
      <c r="D8" s="85"/>
      <c r="E8" s="85"/>
      <c r="F8" s="86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170</v>
      </c>
      <c r="C14" s="85"/>
      <c r="D14" s="85"/>
      <c r="E14" s="85"/>
      <c r="F14" s="86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4" t="s">
        <v>168</v>
      </c>
      <c r="C20" s="85"/>
      <c r="D20" s="85"/>
      <c r="E20" s="85"/>
      <c r="F20" s="86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4" t="s">
        <v>171</v>
      </c>
      <c r="C26" s="85"/>
      <c r="D26" s="85"/>
      <c r="E26" s="85"/>
      <c r="F26" s="86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Jumu6zf4A5wofnQgIK9YjrL9o5GsqpTGCcSoPa2rLGPvZE3Vl/7y2uqG9tC+4YLb357pVFzhWhbgGEuo8F3qw==" saltValue="FTrdL78uc++KEd8b6Ug2v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221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18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12</v>
      </c>
      <c r="C9" s="98"/>
      <c r="D9" s="98"/>
      <c r="E9" s="98"/>
      <c r="F9" s="99"/>
      <c r="G9" s="9">
        <v>-1060437</v>
      </c>
      <c r="H9" s="14" t="s">
        <v>3</v>
      </c>
      <c r="I9" s="1"/>
    </row>
    <row r="10" spans="1:9" x14ac:dyDescent="0.25">
      <c r="A10" s="1"/>
      <c r="B10" s="97" t="s">
        <v>137</v>
      </c>
      <c r="C10" s="98"/>
      <c r="D10" s="98"/>
      <c r="E10" s="98"/>
      <c r="F10" s="99"/>
      <c r="G10" s="9">
        <v>0</v>
      </c>
      <c r="H10" s="14" t="s">
        <v>3</v>
      </c>
      <c r="I10" s="1"/>
    </row>
    <row r="11" spans="1:9" x14ac:dyDescent="0.25">
      <c r="A11" s="1"/>
      <c r="B11" s="97" t="s">
        <v>77</v>
      </c>
      <c r="C11" s="98"/>
      <c r="D11" s="98"/>
      <c r="E11" s="98"/>
      <c r="F11" s="99"/>
      <c r="G11" s="9">
        <v>1060437.3333333335</v>
      </c>
      <c r="H11" s="14" t="s">
        <v>3</v>
      </c>
      <c r="I11" s="1"/>
    </row>
    <row r="12" spans="1:9" x14ac:dyDescent="0.25">
      <c r="A12" s="1"/>
      <c r="B12" s="114" t="s">
        <v>15</v>
      </c>
      <c r="C12" s="115"/>
      <c r="D12" s="115"/>
      <c r="E12" s="115"/>
      <c r="F12" s="116"/>
      <c r="G12" s="19">
        <f>(G9+G10)+G11</f>
        <v>0.33333333348855376</v>
      </c>
      <c r="H12" s="18" t="s">
        <v>3</v>
      </c>
      <c r="I12" s="1"/>
    </row>
    <row r="13" spans="1:9" x14ac:dyDescent="0.25">
      <c r="A13" s="1"/>
      <c r="B13" s="97" t="s">
        <v>13</v>
      </c>
      <c r="C13" s="98"/>
      <c r="D13" s="98"/>
      <c r="E13" s="98"/>
      <c r="F13" s="99"/>
      <c r="G13" s="9">
        <v>0</v>
      </c>
      <c r="H13" s="14" t="s">
        <v>28</v>
      </c>
      <c r="I13" s="1"/>
    </row>
    <row r="14" spans="1:9" x14ac:dyDescent="0.25">
      <c r="A14" s="1"/>
      <c r="B14" s="84" t="s">
        <v>138</v>
      </c>
      <c r="C14" s="85"/>
      <c r="D14" s="85"/>
      <c r="E14" s="85"/>
      <c r="F14" s="86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NgEoK6GCdGF688HDBvS8HkOCpFWfLnpNng4sABhSVtqlui4rVs/t/odtgIEfc+z1QFRZxX+tZrF1uf3C5ANsg==" saltValue="gek9Bo/nU7j4/pBKbHXXm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62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35565607.489979364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tillæg'!C14</f>
        <v>78616.830600000001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tillæg'!E14</f>
        <v>347723.36953200004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709041.36949519382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-140476.33193528661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-842113.64209900738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35718399.085572258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omk.'!C16+'Fane 6. Ikke-påvirkelige omk.'!C20+'Fane 6. Ikke-påvirkelige omk.'!C28</f>
        <v>13272911.816390231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1241576.4135346222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Engangstillæg'!C15</f>
        <v>1571240.3154296309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Engangstillæg'!E15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1571240.3154296309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0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0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562368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52366495.630926743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VRWTBLOy4b8g6iF9CA4WFBKDhdb4PazO2DRbiINo0dbuwpw8b6OUvxYarLc/cH7Z7iP7qjBYP8P+SF4/sjkyQ==" saltValue="l5991xfPNFWOvcnihx1/b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248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eGyenFbOGbZXAFRRbDGfGph1QXRpwPiRZ4/H4GTlDYQi0HLXuaYebMWmVu+ntIuufsHznodhIafAFjtNJr6dQ==" saltValue="TjyoKSnwW577M+3ZbStif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82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35718399.085572258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703652.46198577341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-140378.84136092351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-834316.10767226457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35447356.598524839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Nøgletal'!C12)+'Fane 6. Ikke-påvirkelige omk.'!C21+'Fane 6. Ikke-påvirkelige omk.'!C29</f>
        <v>13529634.853673119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1266035.4688812541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0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50243026.921079211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tlsL7tSKcm0f0PU8yAXW2RV+w/VJzPGXIgWTVNMiGOffPK+NvSgORGQnGkQGq985WP2Fal0C8xlsAJK9sbACw==" saltValue="oe96XwdQiQEQ9QKpcNOO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246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35447356.598524839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698312.92499093933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-140281.41844501902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-826590.77435959538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35178797.330711156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Nøgletal'!C12)^2+'Fane 6. Ikke-påvirkelige omk.'!C22+'Fane 6. Ikke-påvirkelige omk.'!C30</f>
        <v>13791413.104890481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1290976.367618215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Engangstillæg'!C31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Engangstillæg'!E31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50261186.803219855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Z6uX5H84bWGxgDkLxK0uIjcqae+lEkFEV+/WgJjGYoD4f0zJWRn3gQRbWHa+kNQJrSu+SmahneeT05Euq6LCg==" saltValue="rRuO5SeoENfBFVoACVfR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9" t="s">
        <v>247</v>
      </c>
      <c r="C3" s="79"/>
      <c r="D3" s="79"/>
      <c r="E3" s="1"/>
    </row>
    <row r="4" spans="1:5" ht="15" customHeight="1" x14ac:dyDescent="0.25">
      <c r="A4" s="1"/>
      <c r="B4" s="79"/>
      <c r="C4" s="79"/>
      <c r="D4" s="79"/>
      <c r="E4" s="1"/>
    </row>
    <row r="5" spans="1:5" x14ac:dyDescent="0.25">
      <c r="A5" s="1"/>
      <c r="B5" s="80" t="s">
        <v>30</v>
      </c>
      <c r="C5" s="80"/>
      <c r="D5" s="80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35178797.330711156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693022.30741500971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-140184.06314061821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-818936.97361622832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34912698.601369321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omk.'!C16*(1+'Fane 15. Nøgletal'!C12)^3+'Fane 6. Ikke-påvirkelige omk.'!C23+'Fane 6. Ikke-påvirkelige omk.'!C31</f>
        <v>14058346.059256822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1316409.7119944959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Engangstillæg'!C39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Engangstillæg'!E39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50287454.372620642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1sQbpFyixzpfSz5t4jWJZEJptn597W52Wc4mgdOBCKyvPRRfz4ajzXxeIjWH8YAZ+uzDKBTGbExMiqS0Wdyt4A==" saltValue="j+oIAsgu0+1PEjJbF8Ak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243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1" t="s">
        <v>79</v>
      </c>
      <c r="C9" s="82"/>
      <c r="D9" s="83"/>
      <c r="E9" s="7">
        <v>35055971.777284488</v>
      </c>
      <c r="F9" s="8" t="s">
        <v>3</v>
      </c>
      <c r="G9" s="1"/>
    </row>
    <row r="10" spans="1:7" ht="15" customHeight="1" x14ac:dyDescent="0.25">
      <c r="A10" s="1"/>
      <c r="B10" s="94" t="s">
        <v>64</v>
      </c>
      <c r="C10" s="95"/>
      <c r="D10" s="96"/>
      <c r="E10" s="7">
        <v>0</v>
      </c>
      <c r="F10" s="8" t="s">
        <v>3</v>
      </c>
      <c r="G10" s="1"/>
    </row>
    <row r="11" spans="1:7" ht="15" customHeight="1" x14ac:dyDescent="0.25">
      <c r="A11" s="1"/>
      <c r="B11" s="94" t="s">
        <v>65</v>
      </c>
      <c r="C11" s="95"/>
      <c r="D11" s="96"/>
      <c r="E11" s="9">
        <v>538709.8933</v>
      </c>
      <c r="F11" s="8" t="s">
        <v>3</v>
      </c>
      <c r="G11" s="1"/>
    </row>
    <row r="12" spans="1:7" ht="15" customHeight="1" x14ac:dyDescent="0.25">
      <c r="A12" s="1"/>
      <c r="B12" s="94" t="s">
        <v>42</v>
      </c>
      <c r="C12" s="95"/>
      <c r="D12" s="96"/>
      <c r="E12" s="9">
        <v>0</v>
      </c>
      <c r="F12" s="8" t="s">
        <v>3</v>
      </c>
      <c r="G12" s="1"/>
    </row>
    <row r="13" spans="1:7" ht="15" customHeight="1" x14ac:dyDescent="0.25">
      <c r="A13" s="1"/>
      <c r="B13" s="81" t="s">
        <v>41</v>
      </c>
      <c r="C13" s="82"/>
      <c r="D13" s="83"/>
      <c r="E13" s="9">
        <v>0</v>
      </c>
      <c r="F13" s="8" t="s">
        <v>3</v>
      </c>
      <c r="G13" s="1"/>
    </row>
    <row r="14" spans="1:7" ht="15" customHeight="1" x14ac:dyDescent="0.25">
      <c r="A14" s="1"/>
      <c r="B14" s="81" t="s">
        <v>44</v>
      </c>
      <c r="C14" s="82"/>
      <c r="D14" s="83"/>
      <c r="E14" s="9">
        <v>0</v>
      </c>
      <c r="F14" s="8" t="s">
        <v>3</v>
      </c>
      <c r="G14" s="1"/>
    </row>
    <row r="15" spans="1:7" ht="15" customHeight="1" x14ac:dyDescent="0.25">
      <c r="A15" s="1"/>
      <c r="B15" s="81" t="s">
        <v>43</v>
      </c>
      <c r="C15" s="82"/>
      <c r="D15" s="83"/>
      <c r="E15" s="9">
        <v>0</v>
      </c>
      <c r="F15" s="8" t="s">
        <v>3</v>
      </c>
      <c r="G15" s="1"/>
    </row>
    <row r="16" spans="1:7" ht="15" customHeight="1" x14ac:dyDescent="0.25">
      <c r="A16" s="1"/>
      <c r="B16" s="81" t="s">
        <v>27</v>
      </c>
      <c r="C16" s="82"/>
      <c r="D16" s="83"/>
      <c r="E16" s="9">
        <f>E9*'Fane 15. Nøgletal'!C10+SUM(E10:E15)*'Fane 15. Nøgletal'!C11</f>
        <v>622583.70329924859</v>
      </c>
      <c r="F16" s="8" t="s">
        <v>3</v>
      </c>
      <c r="G16" s="1"/>
    </row>
    <row r="17" spans="1:7" ht="15" customHeight="1" x14ac:dyDescent="0.25">
      <c r="A17" s="1"/>
      <c r="B17" s="81" t="s">
        <v>10</v>
      </c>
      <c r="C17" s="82"/>
      <c r="D17" s="83"/>
      <c r="E17" s="9">
        <f>-SUM(E9:E16)*'Fane 5. Individuelt eff. krav'!G10</f>
        <v>0</v>
      </c>
      <c r="F17" s="8" t="s">
        <v>3</v>
      </c>
      <c r="G17" s="1"/>
    </row>
    <row r="18" spans="1:7" ht="15" customHeight="1" x14ac:dyDescent="0.25">
      <c r="A18" s="1"/>
      <c r="B18" s="81" t="s">
        <v>39</v>
      </c>
      <c r="C18" s="82"/>
      <c r="D18" s="83"/>
      <c r="E18" s="9">
        <f>-'Fane 4.1. Gen. krav - drift'!G22</f>
        <v>-138969.46510081016</v>
      </c>
      <c r="F18" s="8" t="s">
        <v>3</v>
      </c>
      <c r="G18" s="1"/>
    </row>
    <row r="19" spans="1:7" ht="15" customHeight="1" x14ac:dyDescent="0.25">
      <c r="A19" s="1"/>
      <c r="B19" s="81" t="s">
        <v>40</v>
      </c>
      <c r="C19" s="82"/>
      <c r="D19" s="83"/>
      <c r="E19" s="9">
        <f>-'Fane 4.2. Gen. krav - anlæg'!G19</f>
        <v>-512688.41880355537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35565607.489979364</v>
      </c>
      <c r="F20" s="11" t="s">
        <v>3</v>
      </c>
      <c r="G20" s="1"/>
    </row>
    <row r="21" spans="1:7" ht="15" customHeight="1" x14ac:dyDescent="0.25">
      <c r="A21" s="1"/>
      <c r="B21" s="84" t="s">
        <v>145</v>
      </c>
      <c r="C21" s="85"/>
      <c r="D21" s="85"/>
      <c r="E21" s="85"/>
      <c r="F21" s="86"/>
      <c r="G21" s="1"/>
    </row>
    <row r="22" spans="1:7" ht="15" customHeight="1" x14ac:dyDescent="0.25">
      <c r="A22" s="1"/>
      <c r="B22" s="81" t="s">
        <v>239</v>
      </c>
      <c r="C22" s="82"/>
      <c r="D22" s="83"/>
      <c r="E22" s="44">
        <v>1239759.6475000002</v>
      </c>
      <c r="F22" s="8" t="s">
        <v>3</v>
      </c>
      <c r="G22" s="1"/>
    </row>
    <row r="23" spans="1:7" ht="15" customHeight="1" x14ac:dyDescent="0.25">
      <c r="A23" s="1"/>
      <c r="B23" s="81" t="s">
        <v>238</v>
      </c>
      <c r="C23" s="82"/>
      <c r="D23" s="83"/>
      <c r="E23" s="44">
        <f>-E22*('Fane 15. Nøgletal'!C25+'Fane 5. Individuelt eff. krav'!G10)</f>
        <v>-24795.192950000004</v>
      </c>
      <c r="F23" s="8" t="s">
        <v>3</v>
      </c>
      <c r="G23" s="1"/>
    </row>
    <row r="24" spans="1:7" ht="15" customHeight="1" x14ac:dyDescent="0.25">
      <c r="A24" s="1"/>
      <c r="B24" s="87" t="s">
        <v>240</v>
      </c>
      <c r="C24" s="88"/>
      <c r="D24" s="89"/>
      <c r="E24" s="10">
        <f>SUM(E22:E23)</f>
        <v>1214964.4545500001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7" t="s">
        <v>17</v>
      </c>
      <c r="C26" s="88"/>
      <c r="D26" s="89"/>
      <c r="E26" s="10">
        <v>13528691.332887987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90" t="s">
        <v>134</v>
      </c>
      <c r="C28" s="91"/>
      <c r="D28" s="92"/>
      <c r="E28" s="10">
        <v>737727.16745862085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90" t="s">
        <v>19</v>
      </c>
      <c r="C30" s="91"/>
      <c r="D30" s="92"/>
      <c r="E30" s="10">
        <v>0</v>
      </c>
      <c r="F30" s="11" t="s">
        <v>3</v>
      </c>
      <c r="G30" s="1"/>
    </row>
    <row r="31" spans="1:7" x14ac:dyDescent="0.25">
      <c r="A31" s="1"/>
      <c r="B31" s="84" t="s">
        <v>24</v>
      </c>
      <c r="C31" s="85"/>
      <c r="D31" s="86"/>
      <c r="E31" s="12">
        <f>SUM(E30,E28,E26,E20,E24)</f>
        <v>51046990.44487597</v>
      </c>
      <c r="F31" s="13" t="s">
        <v>3</v>
      </c>
      <c r="G31" s="1"/>
    </row>
    <row r="32" spans="1:7" ht="27" customHeight="1" x14ac:dyDescent="0.25">
      <c r="A32" s="1"/>
      <c r="B32" s="81" t="s">
        <v>208</v>
      </c>
      <c r="C32" s="82"/>
      <c r="D32" s="82"/>
      <c r="E32" s="82"/>
      <c r="F32" s="8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R0sF7z8e5efCCScNWO9fZScKdaHM3G1kXZij2WaapoZ5t0b/1OYOhdAr4tb63WIEau+WU/7o9ekhNYNlPDD78g==" saltValue="Id02izHGARw50UGghAuvIQ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9" t="s">
        <v>218</v>
      </c>
      <c r="C2" s="79"/>
      <c r="D2" s="79"/>
      <c r="E2" s="79"/>
      <c r="F2" s="79"/>
      <c r="G2" s="79"/>
      <c r="H2" s="79"/>
      <c r="I2" s="1"/>
    </row>
    <row r="3" spans="1:9" ht="15" customHeight="1" x14ac:dyDescent="0.25">
      <c r="A3" s="1"/>
      <c r="B3" s="79"/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84" t="s">
        <v>94</v>
      </c>
      <c r="C5" s="85"/>
      <c r="D5" s="85"/>
      <c r="E5" s="85"/>
      <c r="F5" s="85"/>
      <c r="G5" s="85"/>
      <c r="H5" s="86"/>
      <c r="I5" s="1"/>
    </row>
    <row r="6" spans="1:9" x14ac:dyDescent="0.25">
      <c r="A6" s="1"/>
      <c r="B6" s="97" t="s">
        <v>83</v>
      </c>
      <c r="C6" s="98"/>
      <c r="D6" s="98"/>
      <c r="E6" s="98"/>
      <c r="F6" s="99"/>
      <c r="G6" s="26">
        <v>7047539.7123830002</v>
      </c>
      <c r="H6" s="14" t="s">
        <v>3</v>
      </c>
      <c r="I6" s="1"/>
    </row>
    <row r="7" spans="1:9" x14ac:dyDescent="0.25">
      <c r="A7" s="1"/>
      <c r="B7" s="81" t="s">
        <v>242</v>
      </c>
      <c r="C7" s="82"/>
      <c r="D7" s="82"/>
      <c r="E7" s="82"/>
      <c r="F7" s="83"/>
      <c r="G7" s="26">
        <v>1197481</v>
      </c>
      <c r="H7" s="14" t="s">
        <v>3</v>
      </c>
      <c r="I7" s="1"/>
    </row>
    <row r="8" spans="1:9" x14ac:dyDescent="0.25">
      <c r="A8" s="1"/>
      <c r="B8" s="97" t="s">
        <v>84</v>
      </c>
      <c r="C8" s="98"/>
      <c r="D8" s="98"/>
      <c r="E8" s="98"/>
      <c r="F8" s="99"/>
      <c r="G8" s="26">
        <f>SUM(G6:G7)*'Fane 15. Nøgletal'!C25</f>
        <v>164900.41424766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4" t="s">
        <v>95</v>
      </c>
      <c r="C11" s="85"/>
      <c r="D11" s="85"/>
      <c r="E11" s="85"/>
      <c r="F11" s="85"/>
      <c r="G11" s="85"/>
      <c r="H11" s="86"/>
      <c r="I11" s="1"/>
    </row>
    <row r="12" spans="1:9" x14ac:dyDescent="0.25">
      <c r="A12" s="1"/>
      <c r="B12" s="97" t="s">
        <v>85</v>
      </c>
      <c r="C12" s="98"/>
      <c r="D12" s="98"/>
      <c r="E12" s="98"/>
      <c r="F12" s="99"/>
      <c r="G12" s="26">
        <f>(G6-G8)*(1+'Fane 15. Nøgletal'!C10)</f>
        <v>7003085.485852709</v>
      </c>
      <c r="H12" s="14" t="s">
        <v>3</v>
      </c>
      <c r="I12" s="1"/>
    </row>
    <row r="13" spans="1:9" x14ac:dyDescent="0.25">
      <c r="A13" s="1"/>
      <c r="B13" s="97" t="s">
        <v>244</v>
      </c>
      <c r="C13" s="98"/>
      <c r="D13" s="98"/>
      <c r="E13" s="98"/>
      <c r="F13" s="99"/>
      <c r="G13" s="26">
        <v>-9886.4222096944395</v>
      </c>
      <c r="H13" s="14" t="s">
        <v>3</v>
      </c>
      <c r="I13" s="1"/>
    </row>
    <row r="14" spans="1:9" ht="15" customHeight="1" x14ac:dyDescent="0.25">
      <c r="A14" s="1"/>
      <c r="B14" s="81" t="s">
        <v>237</v>
      </c>
      <c r="C14" s="82"/>
      <c r="D14" s="82"/>
      <c r="E14" s="82"/>
      <c r="F14" s="83"/>
      <c r="G14" s="26">
        <v>1218436.9175</v>
      </c>
      <c r="H14" s="14" t="s">
        <v>3</v>
      </c>
      <c r="I14" s="1"/>
    </row>
    <row r="15" spans="1:9" x14ac:dyDescent="0.25">
      <c r="A15" s="1"/>
      <c r="B15" s="100" t="s">
        <v>86</v>
      </c>
      <c r="C15" s="101"/>
      <c r="D15" s="101"/>
      <c r="E15" s="101"/>
      <c r="F15" s="102"/>
      <c r="G15" s="26">
        <v>0</v>
      </c>
      <c r="H15" s="14" t="s">
        <v>3</v>
      </c>
      <c r="I15" s="1"/>
    </row>
    <row r="16" spans="1:9" x14ac:dyDescent="0.25">
      <c r="A16" s="1"/>
      <c r="B16" s="97" t="s">
        <v>87</v>
      </c>
      <c r="C16" s="98"/>
      <c r="D16" s="98"/>
      <c r="E16" s="98"/>
      <c r="F16" s="99"/>
      <c r="G16" s="26">
        <f>SUM(G12:G15)*'Fane 15. Nøgletal'!C25</f>
        <v>164232.71962286028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4" t="s">
        <v>96</v>
      </c>
      <c r="C19" s="85"/>
      <c r="D19" s="85"/>
      <c r="E19" s="85"/>
      <c r="F19" s="85"/>
      <c r="G19" s="85"/>
      <c r="H19" s="86"/>
      <c r="I19" s="1"/>
    </row>
    <row r="20" spans="1:9" x14ac:dyDescent="0.25">
      <c r="A20" s="1"/>
      <c r="B20" s="97" t="s">
        <v>88</v>
      </c>
      <c r="C20" s="98"/>
      <c r="D20" s="98"/>
      <c r="E20" s="98"/>
      <c r="F20" s="99"/>
      <c r="G20" s="26">
        <f>(SUM(G12:G13,G15)-(G16))*(1+'Fane 15. Nøgletal'!C10)</f>
        <v>6948473.2550405078</v>
      </c>
      <c r="H20" s="14" t="s">
        <v>3</v>
      </c>
      <c r="I20" s="1"/>
    </row>
    <row r="21" spans="1:9" x14ac:dyDescent="0.25">
      <c r="A21" s="1"/>
      <c r="B21" s="100" t="s">
        <v>89</v>
      </c>
      <c r="C21" s="101"/>
      <c r="D21" s="101"/>
      <c r="E21" s="101"/>
      <c r="F21" s="102"/>
      <c r="G21" s="26">
        <v>0</v>
      </c>
      <c r="H21" s="14" t="s">
        <v>3</v>
      </c>
      <c r="I21" s="1"/>
    </row>
    <row r="22" spans="1:9" x14ac:dyDescent="0.25">
      <c r="A22" s="1"/>
      <c r="B22" s="97" t="s">
        <v>90</v>
      </c>
      <c r="C22" s="98"/>
      <c r="D22" s="98"/>
      <c r="E22" s="98"/>
      <c r="F22" s="99"/>
      <c r="G22" s="26">
        <f>SUM(G20:G21)*'Fane 15. Nøgletal'!C25</f>
        <v>138969.46510081016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4" t="s">
        <v>97</v>
      </c>
      <c r="C25" s="85"/>
      <c r="D25" s="85"/>
      <c r="E25" s="85"/>
      <c r="F25" s="85"/>
      <c r="G25" s="85"/>
      <c r="H25" s="86"/>
      <c r="I25" s="1"/>
    </row>
    <row r="26" spans="1:9" x14ac:dyDescent="0.25">
      <c r="A26" s="1"/>
      <c r="B26" s="97" t="s">
        <v>91</v>
      </c>
      <c r="C26" s="98"/>
      <c r="D26" s="98"/>
      <c r="E26" s="98"/>
      <c r="F26" s="99"/>
      <c r="G26" s="26">
        <f>(G20+G21-G22)*(1+'Fane 15. Nøgletal'!C12)</f>
        <v>6943651.01460151</v>
      </c>
      <c r="H26" s="14" t="s">
        <v>3</v>
      </c>
      <c r="I26" s="1"/>
    </row>
    <row r="27" spans="1:9" x14ac:dyDescent="0.25">
      <c r="A27" s="1"/>
      <c r="B27" s="100" t="s">
        <v>92</v>
      </c>
      <c r="C27" s="101"/>
      <c r="D27" s="101"/>
      <c r="E27" s="101"/>
      <c r="F27" s="102"/>
      <c r="G27" s="26">
        <f>('Fane 2.1. Økonomisk ramme 2020'!C10+'Fane 2.1. Økonomisk ramme 2020'!C12+'Fane 2.1. Økonomisk ramme 2020'!C14)*(1+'Fane 15. Nøgletal'!C12)</f>
        <v>80165.582162820006</v>
      </c>
      <c r="H27" s="14" t="s">
        <v>3</v>
      </c>
      <c r="I27" s="1"/>
    </row>
    <row r="28" spans="1:9" x14ac:dyDescent="0.25">
      <c r="A28" s="1"/>
      <c r="B28" s="97" t="s">
        <v>93</v>
      </c>
      <c r="C28" s="98"/>
      <c r="D28" s="98"/>
      <c r="E28" s="98"/>
      <c r="F28" s="99"/>
      <c r="G28" s="26">
        <f>(G26+G27)*'Fane 15. Nøgletal'!C25</f>
        <v>140476.33193528661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4" t="s">
        <v>100</v>
      </c>
      <c r="C31" s="85"/>
      <c r="D31" s="85"/>
      <c r="E31" s="85"/>
      <c r="F31" s="85"/>
      <c r="G31" s="85"/>
      <c r="H31" s="86"/>
      <c r="I31" s="1"/>
    </row>
    <row r="32" spans="1:9" x14ac:dyDescent="0.25">
      <c r="A32" s="1"/>
      <c r="B32" s="97" t="s">
        <v>101</v>
      </c>
      <c r="C32" s="98"/>
      <c r="D32" s="98"/>
      <c r="E32" s="98"/>
      <c r="F32" s="99"/>
      <c r="G32" s="26">
        <f>(G26+G27-G28)*(1+'Fane 15. Nøgletal'!C12)</f>
        <v>7018942.0680461759</v>
      </c>
      <c r="H32" s="14" t="s">
        <v>3</v>
      </c>
      <c r="I32" s="1"/>
    </row>
    <row r="33" spans="1:9" x14ac:dyDescent="0.25">
      <c r="A33" s="1"/>
      <c r="B33" s="97" t="s">
        <v>149</v>
      </c>
      <c r="C33" s="98"/>
      <c r="D33" s="98"/>
      <c r="E33" s="98"/>
      <c r="F33" s="99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7" t="s">
        <v>102</v>
      </c>
      <c r="C34" s="98"/>
      <c r="D34" s="98"/>
      <c r="E34" s="98"/>
      <c r="F34" s="99"/>
      <c r="G34" s="26">
        <f>(G32+G33)*'Fane 15. Nøgletal'!C25</f>
        <v>140378.84136092351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4" t="s">
        <v>127</v>
      </c>
      <c r="C37" s="85"/>
      <c r="D37" s="85"/>
      <c r="E37" s="85"/>
      <c r="F37" s="85"/>
      <c r="G37" s="85"/>
      <c r="H37" s="86"/>
      <c r="I37" s="1"/>
    </row>
    <row r="38" spans="1:9" x14ac:dyDescent="0.25">
      <c r="A38" s="1"/>
      <c r="B38" s="97" t="s">
        <v>126</v>
      </c>
      <c r="C38" s="98"/>
      <c r="D38" s="98"/>
      <c r="E38" s="98"/>
      <c r="F38" s="99"/>
      <c r="G38" s="26">
        <f>(G32-G34)*(1+'Fane 15. Nøgletal'!C12)</f>
        <v>7014070.9222509516</v>
      </c>
      <c r="H38" s="14" t="s">
        <v>3</v>
      </c>
      <c r="I38" s="1"/>
    </row>
    <row r="39" spans="1:9" x14ac:dyDescent="0.25">
      <c r="A39" s="1"/>
      <c r="B39" s="97" t="s">
        <v>150</v>
      </c>
      <c r="C39" s="98"/>
      <c r="D39" s="98"/>
      <c r="E39" s="98"/>
      <c r="F39" s="99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7" t="s">
        <v>103</v>
      </c>
      <c r="C40" s="98"/>
      <c r="D40" s="98"/>
      <c r="E40" s="98"/>
      <c r="F40" s="99"/>
      <c r="G40" s="26">
        <f>(G38+G39)*'Fane 15. Nøgletal'!C25</f>
        <v>140281.41844501902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4" t="s">
        <v>128</v>
      </c>
      <c r="C43" s="85"/>
      <c r="D43" s="85"/>
      <c r="E43" s="85"/>
      <c r="F43" s="85"/>
      <c r="G43" s="85"/>
      <c r="H43" s="86"/>
      <c r="I43" s="1"/>
    </row>
    <row r="44" spans="1:9" x14ac:dyDescent="0.25">
      <c r="A44" s="1"/>
      <c r="B44" s="97" t="s">
        <v>125</v>
      </c>
      <c r="C44" s="98"/>
      <c r="D44" s="98"/>
      <c r="E44" s="98"/>
      <c r="F44" s="99"/>
      <c r="G44" s="26">
        <f>(G38-G40)*(1+'Fane 15. Nøgletal'!C12)</f>
        <v>7009203.1570309103</v>
      </c>
      <c r="H44" s="14" t="s">
        <v>3</v>
      </c>
      <c r="I44" s="1"/>
    </row>
    <row r="45" spans="1:9" x14ac:dyDescent="0.25">
      <c r="A45" s="1"/>
      <c r="B45" s="97" t="s">
        <v>151</v>
      </c>
      <c r="C45" s="98"/>
      <c r="D45" s="98"/>
      <c r="E45" s="98"/>
      <c r="F45" s="99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7" t="s">
        <v>104</v>
      </c>
      <c r="C46" s="98"/>
      <c r="D46" s="98"/>
      <c r="E46" s="98"/>
      <c r="F46" s="99"/>
      <c r="G46" s="26">
        <f>(G44+G45)*'Fane 15. Nøgletal'!C25</f>
        <v>140184.06314061821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8E9tjyxX57hA+dqNCrCBFaSNDsZ2HgEbSXP2qnnRJiH8Ulvxn5ygi6BotwrfkyZ6mEEw4WQElc5KAN7PS3kbRw==" saltValue="i959DH12/DwYbDLdc7nfLw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3" t="s">
        <v>219</v>
      </c>
      <c r="C2" s="103"/>
      <c r="D2" s="103"/>
      <c r="E2" s="103"/>
      <c r="F2" s="103"/>
      <c r="G2" s="103"/>
      <c r="H2" s="103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4" t="s">
        <v>98</v>
      </c>
      <c r="C4" s="85"/>
      <c r="D4" s="85"/>
      <c r="E4" s="85"/>
      <c r="F4" s="85"/>
      <c r="G4" s="85"/>
      <c r="H4" s="86"/>
      <c r="I4" s="1"/>
    </row>
    <row r="5" spans="1:9" x14ac:dyDescent="0.25">
      <c r="A5" s="1"/>
      <c r="B5" s="97" t="s">
        <v>105</v>
      </c>
      <c r="C5" s="98"/>
      <c r="D5" s="98"/>
      <c r="E5" s="98"/>
      <c r="F5" s="99"/>
      <c r="G5" s="26">
        <v>27997707.58392426</v>
      </c>
      <c r="H5" s="14" t="s">
        <v>3</v>
      </c>
      <c r="I5" s="1"/>
    </row>
    <row r="6" spans="1:9" x14ac:dyDescent="0.25">
      <c r="A6" s="1"/>
      <c r="B6" s="97" t="s">
        <v>99</v>
      </c>
      <c r="C6" s="98"/>
      <c r="D6" s="98"/>
      <c r="E6" s="98"/>
      <c r="F6" s="99"/>
      <c r="G6" s="26">
        <f>G5*'Fane 15. Nøgletal'!C17</f>
        <v>254779.13901371078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4" t="s">
        <v>106</v>
      </c>
      <c r="C9" s="85"/>
      <c r="D9" s="85"/>
      <c r="E9" s="85"/>
      <c r="F9" s="85"/>
      <c r="G9" s="85"/>
      <c r="H9" s="86"/>
      <c r="I9" s="1"/>
    </row>
    <row r="10" spans="1:9" x14ac:dyDescent="0.25">
      <c r="A10" s="1"/>
      <c r="B10" s="97" t="s">
        <v>107</v>
      </c>
      <c r="C10" s="98"/>
      <c r="D10" s="98"/>
      <c r="E10" s="98"/>
      <c r="F10" s="99"/>
      <c r="G10" s="26">
        <f>(G5-G6)*(1+'Fane 15. Nøgletal'!C10)</f>
        <v>28228429.692696486</v>
      </c>
      <c r="H10" s="14" t="s">
        <v>3</v>
      </c>
      <c r="I10" s="1"/>
    </row>
    <row r="11" spans="1:9" x14ac:dyDescent="0.25">
      <c r="A11" s="1"/>
      <c r="B11" s="97" t="s">
        <v>245</v>
      </c>
      <c r="C11" s="98"/>
      <c r="D11" s="98"/>
      <c r="E11" s="98"/>
      <c r="F11" s="99"/>
      <c r="G11" s="26">
        <v>482388.48394439131</v>
      </c>
      <c r="H11" s="14" t="s">
        <v>3</v>
      </c>
      <c r="I11" s="1"/>
    </row>
    <row r="12" spans="1:9" x14ac:dyDescent="0.25">
      <c r="A12" s="1"/>
      <c r="B12" s="100" t="s">
        <v>108</v>
      </c>
      <c r="C12" s="101"/>
      <c r="D12" s="101"/>
      <c r="E12" s="101"/>
      <c r="F12" s="102"/>
      <c r="G12" s="26">
        <v>0</v>
      </c>
      <c r="H12" s="14" t="s">
        <v>3</v>
      </c>
      <c r="I12" s="1"/>
    </row>
    <row r="13" spans="1:9" x14ac:dyDescent="0.25">
      <c r="A13" s="1"/>
      <c r="B13" s="97" t="s">
        <v>109</v>
      </c>
      <c r="C13" s="98"/>
      <c r="D13" s="98"/>
      <c r="E13" s="98"/>
      <c r="F13" s="99"/>
      <c r="G13" s="26">
        <f>SUM(G10:G12)*'Fane 15. Nøgletal'!C18</f>
        <v>508181.48172654351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4" t="s">
        <v>110</v>
      </c>
      <c r="C16" s="85"/>
      <c r="D16" s="85"/>
      <c r="E16" s="85"/>
      <c r="F16" s="85"/>
      <c r="G16" s="85"/>
      <c r="H16" s="86"/>
      <c r="I16" s="1"/>
    </row>
    <row r="17" spans="1:9" x14ac:dyDescent="0.25">
      <c r="A17" s="1"/>
      <c r="B17" s="97" t="s">
        <v>111</v>
      </c>
      <c r="C17" s="98"/>
      <c r="D17" s="98"/>
      <c r="E17" s="98"/>
      <c r="F17" s="99"/>
      <c r="G17" s="26">
        <f>(SUM(G10:G12)-G13)*(1+'Fane 15. Nøgletal'!C10)</f>
        <v>28696182.837075338</v>
      </c>
      <c r="H17" s="14" t="s">
        <v>3</v>
      </c>
      <c r="I17" s="1"/>
    </row>
    <row r="18" spans="1:9" x14ac:dyDescent="0.25">
      <c r="A18" s="1"/>
      <c r="B18" s="100" t="s">
        <v>112</v>
      </c>
      <c r="C18" s="101"/>
      <c r="D18" s="101"/>
      <c r="E18" s="101"/>
      <c r="F18" s="102"/>
      <c r="G18" s="26">
        <v>547814.09049676987</v>
      </c>
      <c r="H18" s="14" t="s">
        <v>3</v>
      </c>
      <c r="I18" s="1"/>
    </row>
    <row r="19" spans="1:9" x14ac:dyDescent="0.25">
      <c r="A19" s="1"/>
      <c r="B19" s="97" t="s">
        <v>113</v>
      </c>
      <c r="C19" s="98"/>
      <c r="D19" s="98"/>
      <c r="E19" s="98"/>
      <c r="F19" s="99"/>
      <c r="G19" s="26">
        <f>G17*'Fane 15. Nøgletal'!C18+G18*'Fane 15. Nøgletal'!C19</f>
        <v>512688.41880355537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4" t="s">
        <v>114</v>
      </c>
      <c r="C22" s="85"/>
      <c r="D22" s="85"/>
      <c r="E22" s="85"/>
      <c r="F22" s="85"/>
      <c r="G22" s="85"/>
      <c r="H22" s="86"/>
      <c r="I22" s="1"/>
    </row>
    <row r="23" spans="1:9" x14ac:dyDescent="0.25">
      <c r="A23" s="1"/>
      <c r="B23" s="97" t="s">
        <v>115</v>
      </c>
      <c r="C23" s="98"/>
      <c r="D23" s="98"/>
      <c r="E23" s="98"/>
      <c r="F23" s="99"/>
      <c r="G23" s="26">
        <f>(G17+G18-G19)*(1+'Fane 15. Nøgletal'!C12)</f>
        <v>29297315.286391295</v>
      </c>
      <c r="H23" s="14" t="s">
        <v>3</v>
      </c>
      <c r="I23" s="1"/>
    </row>
    <row r="24" spans="1:9" x14ac:dyDescent="0.25">
      <c r="A24" s="1"/>
      <c r="B24" s="100" t="s">
        <v>116</v>
      </c>
      <c r="C24" s="101"/>
      <c r="D24" s="101"/>
      <c r="E24" s="101"/>
      <c r="F24" s="102"/>
      <c r="G24" s="26">
        <f>('Fane 2.1. Økonomisk ramme 2020'!C11+'Fane 2.1. Økonomisk ramme 2020'!C13+'Fane 2.1. Økonomisk ramme 2020'!C15)*(1+'Fane 15. Nøgletal'!C12)</f>
        <v>354573.51991178049</v>
      </c>
      <c r="H24" s="14" t="s">
        <v>3</v>
      </c>
      <c r="I24" s="1"/>
    </row>
    <row r="25" spans="1:9" x14ac:dyDescent="0.25">
      <c r="A25" s="1"/>
      <c r="B25" s="97" t="s">
        <v>117</v>
      </c>
      <c r="C25" s="98"/>
      <c r="D25" s="98"/>
      <c r="E25" s="98"/>
      <c r="F25" s="99"/>
      <c r="G25" s="26">
        <f>(G23+G24)*'Fane 15. Nøgletal'!C20</f>
        <v>842113.64209900738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4" t="s">
        <v>118</v>
      </c>
      <c r="C28" s="85"/>
      <c r="D28" s="85"/>
      <c r="E28" s="85"/>
      <c r="F28" s="85"/>
      <c r="G28" s="85"/>
      <c r="H28" s="86"/>
      <c r="I28" s="1"/>
    </row>
    <row r="29" spans="1:9" x14ac:dyDescent="0.25">
      <c r="A29" s="1"/>
      <c r="B29" s="97" t="s">
        <v>119</v>
      </c>
      <c r="C29" s="98"/>
      <c r="D29" s="98"/>
      <c r="E29" s="98"/>
      <c r="F29" s="99"/>
      <c r="G29" s="26">
        <f>(G23+G24-G25)*(1+'Fane 15. Nøgletal'!C12)</f>
        <v>29377327.73493889</v>
      </c>
      <c r="H29" s="14" t="s">
        <v>3</v>
      </c>
      <c r="I29" s="1"/>
    </row>
    <row r="30" spans="1:9" x14ac:dyDescent="0.25">
      <c r="A30" s="1"/>
      <c r="B30" s="97" t="s">
        <v>155</v>
      </c>
      <c r="C30" s="98"/>
      <c r="D30" s="98"/>
      <c r="E30" s="98"/>
      <c r="F30" s="99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7" t="s">
        <v>120</v>
      </c>
      <c r="C31" s="98"/>
      <c r="D31" s="98"/>
      <c r="E31" s="98"/>
      <c r="F31" s="99"/>
      <c r="G31" s="26">
        <f>(G29+G30)*'Fane 15. Nøgletal'!C20</f>
        <v>834316.10767226457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4" t="s">
        <v>129</v>
      </c>
      <c r="C34" s="85"/>
      <c r="D34" s="85"/>
      <c r="E34" s="85"/>
      <c r="F34" s="85"/>
      <c r="G34" s="85"/>
      <c r="H34" s="86"/>
      <c r="I34" s="1"/>
    </row>
    <row r="35" spans="1:9" x14ac:dyDescent="0.25">
      <c r="A35" s="1"/>
      <c r="B35" s="97" t="s">
        <v>124</v>
      </c>
      <c r="C35" s="98"/>
      <c r="D35" s="98"/>
      <c r="E35" s="98"/>
      <c r="F35" s="99"/>
      <c r="G35" s="26">
        <f>(G29+G30-G31)*(1+'Fane 15. Nøgletal'!C12)</f>
        <v>29105308.95632378</v>
      </c>
      <c r="H35" s="14" t="s">
        <v>3</v>
      </c>
      <c r="I35" s="1"/>
    </row>
    <row r="36" spans="1:9" x14ac:dyDescent="0.25">
      <c r="A36" s="1"/>
      <c r="B36" s="97" t="s">
        <v>156</v>
      </c>
      <c r="C36" s="98"/>
      <c r="D36" s="98"/>
      <c r="E36" s="98"/>
      <c r="F36" s="99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7" t="s">
        <v>121</v>
      </c>
      <c r="C37" s="98"/>
      <c r="D37" s="98"/>
      <c r="E37" s="98"/>
      <c r="F37" s="99"/>
      <c r="G37" s="26">
        <f>(G35+G36)*'Fane 15. Nøgletal'!C20</f>
        <v>826590.77435959538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4" t="s">
        <v>130</v>
      </c>
      <c r="C40" s="85"/>
      <c r="D40" s="85"/>
      <c r="E40" s="85"/>
      <c r="F40" s="85"/>
      <c r="G40" s="85"/>
      <c r="H40" s="86"/>
      <c r="I40" s="1"/>
    </row>
    <row r="41" spans="1:9" x14ac:dyDescent="0.25">
      <c r="A41" s="1"/>
      <c r="B41" s="97" t="s">
        <v>123</v>
      </c>
      <c r="C41" s="98"/>
      <c r="D41" s="98"/>
      <c r="E41" s="98"/>
      <c r="F41" s="99"/>
      <c r="G41" s="26">
        <f>(G35+G36-G37)*(1+'Fane 15. Nøgletal'!C12)</f>
        <v>28835808.930148881</v>
      </c>
      <c r="H41" s="14" t="s">
        <v>3</v>
      </c>
      <c r="I41" s="1"/>
    </row>
    <row r="42" spans="1:9" x14ac:dyDescent="0.25">
      <c r="A42" s="1"/>
      <c r="B42" s="97" t="s">
        <v>157</v>
      </c>
      <c r="C42" s="98"/>
      <c r="D42" s="98"/>
      <c r="E42" s="98"/>
      <c r="F42" s="99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7" t="s">
        <v>122</v>
      </c>
      <c r="C43" s="98"/>
      <c r="D43" s="98"/>
      <c r="E43" s="98"/>
      <c r="F43" s="99"/>
      <c r="G43" s="26">
        <f>(G41+G42)*'Fane 15. Nøgletal'!C20</f>
        <v>818936.97361622832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haTmIq+lC5goKOqQci0egiwpemM4xYi5sjCZdpKcyRHFdGf2CV4sqy8CFUMGX8DCUKdXAzb6wWQrnM0muRg19w==" saltValue="NOkiJWt9NQDCvltCRXvwlA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9" t="s">
        <v>148</v>
      </c>
      <c r="C3" s="79"/>
      <c r="D3" s="79"/>
      <c r="E3" s="79"/>
      <c r="F3" s="79"/>
      <c r="G3" s="79"/>
      <c r="H3" s="79"/>
      <c r="I3" s="1"/>
    </row>
    <row r="4" spans="1:9" ht="15" customHeight="1" x14ac:dyDescent="0.2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4" t="s">
        <v>10</v>
      </c>
      <c r="C8" s="85"/>
      <c r="D8" s="85"/>
      <c r="E8" s="85"/>
      <c r="F8" s="85"/>
      <c r="G8" s="85"/>
      <c r="H8" s="86"/>
      <c r="I8" s="1"/>
    </row>
    <row r="9" spans="1:9" x14ac:dyDescent="0.25">
      <c r="A9" s="1"/>
      <c r="B9" s="97" t="s">
        <v>131</v>
      </c>
      <c r="C9" s="98"/>
      <c r="D9" s="98"/>
      <c r="E9" s="98"/>
      <c r="F9" s="99"/>
      <c r="G9" s="25">
        <v>0</v>
      </c>
      <c r="H9" s="14"/>
      <c r="I9" s="1"/>
    </row>
    <row r="10" spans="1:9" x14ac:dyDescent="0.25">
      <c r="A10" s="1"/>
      <c r="B10" s="97" t="s">
        <v>132</v>
      </c>
      <c r="C10" s="98"/>
      <c r="D10" s="98"/>
      <c r="E10" s="98"/>
      <c r="F10" s="99"/>
      <c r="G10" s="25">
        <v>0</v>
      </c>
      <c r="H10" s="14"/>
      <c r="I10" s="1"/>
    </row>
    <row r="11" spans="1:9" x14ac:dyDescent="0.25">
      <c r="A11" s="1"/>
      <c r="B11" s="97" t="s">
        <v>133</v>
      </c>
      <c r="C11" s="98"/>
      <c r="D11" s="98"/>
      <c r="E11" s="98"/>
      <c r="F11" s="99"/>
      <c r="G11" s="43">
        <v>0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4" t="s">
        <v>78</v>
      </c>
      <c r="C14" s="104"/>
      <c r="D14" s="104"/>
      <c r="E14" s="104"/>
      <c r="F14" s="104"/>
      <c r="G14" s="104"/>
      <c r="H14" s="104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96t7ztmXkO2JZED4eqUXi9fFc/F+4anCjamkvPe/pICG3CyaHkQVmm451b1ft0Cenp3bCupjCgCpuYTb6rFuw==" saltValue="iMP7iW4ZG7JLxQ0m2wmUwg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2019-10-14T09:48:21Z</dcterms:modified>
</cp:coreProperties>
</file>