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jen Vand (V20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6" i="2" l="1"/>
  <c r="G24" i="36"/>
  <c r="C17" i="2"/>
  <c r="C18" i="2" s="1"/>
  <c r="C19" i="2"/>
  <c r="E18" i="32" l="1"/>
  <c r="E9" i="32"/>
  <c r="E9" i="40" l="1"/>
  <c r="G7" i="30" l="1"/>
  <c r="E10" i="40" l="1"/>
  <c r="C33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6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5" i="2" s="1"/>
  <c r="G12" i="10"/>
  <c r="G14" i="10" s="1"/>
  <c r="C21" i="23" l="1"/>
  <c r="C22" i="15"/>
  <c r="C27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1" i="2"/>
  <c r="F11" i="11" l="1"/>
  <c r="C10" i="37" s="1"/>
  <c r="C13" i="37" s="1"/>
  <c r="C14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3" i="2"/>
  <c r="E12" i="21"/>
  <c r="C13" i="2" s="1"/>
  <c r="C12" i="21"/>
  <c r="C12" i="2" s="1"/>
  <c r="G25" i="30" l="1"/>
  <c r="G26" i="30" s="1"/>
  <c r="G30" i="30" l="1"/>
  <c r="G32" i="30" s="1"/>
  <c r="E11" i="11"/>
  <c r="E10" i="37" s="1"/>
  <c r="E13" i="37" s="1"/>
  <c r="E14" i="37" s="1"/>
  <c r="C11" i="2" s="1"/>
  <c r="G25" i="36" s="1"/>
  <c r="C29" i="2"/>
  <c r="C14" i="15" l="1"/>
  <c r="G36" i="30" l="1"/>
  <c r="G38" i="30" s="1"/>
  <c r="C13" i="22" l="1"/>
  <c r="G42" i="30" l="1"/>
  <c r="C20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21" i="2" l="1"/>
  <c r="C34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<sst xmlns="http://schemas.openxmlformats.org/spreadsheetml/2006/main" count="599" uniqueCount="247">
  <si>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</si>
  <si>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</si>
  <si>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</si>
  <si>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</si>
  <si>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</si>
  <si>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</si>
  <si>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</si>
  <si>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</si>
  <si>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</si>
  <si>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</si>
  <si>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</si>
  <si>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</si>
  <si>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</si>
  <si>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</si>
  <si>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</si>
  <si>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</si>
  <si>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</si>
  <si>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</si>
  <si>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</si>
  <si>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</si>
  <si>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</si>
  <si>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</si>
  <si>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</si>
  <si>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</si>
  <si>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</si>
  <si>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</si>
  <si>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</si>
  <si>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</si>
  <si>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</si>
  <si>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</si>
  <si>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</si>
  <si>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</si>
  <si>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</si>
  <si>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</si>
  <si>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</si>
  <si>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</si>
  <si>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</si>
  <si>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</si>
  <si>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</si>
  <si>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</si>
  <si>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</si>
  <si>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</si>
  <si>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</si>
  <si>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</si>
  <si>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</si>
  <si>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</si>
  <si>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</si>
  <si>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</si>
  <si>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</si>
  <si>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</si>
  <si>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</si>
  <si>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</si>
  <si>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</si>
  <si>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</si>
  <si>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</si>
  <si>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</si>
  <si>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</si>
  <si>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</si>
  <si>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</si>
  <si>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</si>
  <si>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</si>
  <si>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</si>
  <si>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</si>
  <si>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</si>
  <si>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</si>
  <si>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</si>
  <si>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</si>
  <si>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</si>
  <si>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</si>
  <si>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</si>
  <si>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</si>
  <si>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</si>
  <si>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</si>
  <si>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</si>
  <si>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</si>
  <si>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</si>
  <si>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</si>
  <si>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</si>
  <si>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</si>
  <si>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</si>
  <si>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</si>
  <si>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</si>
  <si>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</si>
  <si>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</si>
  <si>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</si>
  <si>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</si>
  <si>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</si>
  <si>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</si>
  <si>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</si>
  <si>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</si>
  <si>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</si>
  <si>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</si>
  <si>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</si>
  <si>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</si>
  <si>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</si>
  <si>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</si>
  <si>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</si>
  <si>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</si>
  <si>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</si>
  <si>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</si>
  <si>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</si>
  <si>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</si>
  <si>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</si>
  <si>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</si>
  <si>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</si>
  <si>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</si>
  <si>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</si>
  <si>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</si>
  <si>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</si>
  <si>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</si>
  <si>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</si>
  <si>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</si>
  <si>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</si>
  <si>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</si>
  <si>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</si>
  <si>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</si>
  <si>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</si>
  <si>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</si>
  <si>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</si>
  <si>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</si>
  <si>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</si>
  <si>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</si>
  <si>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</si>
  <si>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</si>
  <si>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</si>
  <si>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</si>
  <si>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</si>
  <si>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</si>
  <si>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</si>
  <si>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</si>
  <si>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</si>
  <si>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</si>
  <si>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</si>
  <si>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</si>
  <si>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</si>
  <si>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</si>
  <si>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</si>
  <si>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</si>
  <si>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</si>
  <si>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</si>
  <si>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</si>
  <si>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</si>
  <si>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</si>
  <si>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</si>
  <si>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</si>
  <si>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</si>
  <si>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</si>
  <si>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</si>
  <si>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</si>
  <si>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</si>
  <si>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</si>
  <si>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</si>
  <si>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</si>
  <si>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</si>
  <si>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</si>
  <si>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</si>
  <si>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</si>
  <si>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</si>
  <si>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</si>
  <si>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</si>
  <si>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</si>
  <si>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</si>
  <si>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</si>
  <si>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</si>
  <si>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</si>
  <si>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</si>
  <si>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</si>
  <si>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</si>
  <si>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</si>
  <si>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</si>
  <si>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</si>
  <si>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</si>
  <si>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</si>
  <si>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</si>
  <si>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</si>
  <si>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</si>
  <si>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</si>
  <si>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</si>
  <si>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</si>
  <si>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</si>
  <si>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</si>
  <si>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</si>
  <si>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</si>
  <si>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</si>
  <si>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</si>
  <si>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</si>
  <si>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</si>
  <si>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</si>
  <si>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</si>
  <si>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</si>
  <si>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</si>
  <si>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</si>
  <si>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</si>
  <si>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</si>
  <si>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</si>
  <si>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</si>
  <si>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</si>
  <si>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</si>
  <si>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</si>
  <si>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</si>
  <si>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</si>
  <si>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</si>
  <si>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</si>
  <si>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</si>
  <si>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</si>
  <si>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</si>
  <si>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</si>
  <si>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</si>
  <si>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</si>
  <si>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</si>
  <si>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</si>
  <si>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</si>
  <si>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</si>
  <si>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</si>
  <si>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</si>
  <si>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</si>
  <si>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</si>
  <si>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</si>
  <si>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</si>
  <si>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</si>
  <si>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</si>
  <si>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</si>
  <si>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</si>
  <si>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</si>
  <si>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</si>
  <si>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</si>
  <si>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</si>
  <si>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</si>
  <si>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</si>
  <si>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</si>
  <si>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</si>
  <si>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</si>
  <si>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</si>
  <si>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</si>
  <si>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Etablering af nyt kildefelt</t>
  </si>
  <si>
    <t>Byggemodninger og nye tilslutninger</t>
  </si>
  <si>
    <t>Ingen anlægsprojekter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</si>
  <si>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</si>
  <si>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</si>
  <si>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</si>
  <si>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</si>
  <si>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</si>
  <si>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Korrektion af pris- og levetidskatalog</t>
  </si>
  <si>
    <t>Ingen engangstillæg</t>
  </si>
  <si>
    <t>Videreførte omkostninger fra den økonomiske ramme for 2022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</si>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</sst>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1" t="s">
        <v>192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56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22</v>
      </c>
      <c r="D14" s="66" t="s">
        <v>177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55</v>
      </c>
      <c r="D15" s="66" t="s">
        <v>133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57</v>
      </c>
      <c r="D16" s="66" t="s">
        <v>134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224</v>
      </c>
      <c r="D17" s="66" t="s">
        <v>66</v>
      </c>
      <c r="E17" s="67"/>
      <c r="F17" s="67"/>
      <c r="G17" s="68"/>
      <c r="H17" s="1"/>
      <c r="I17" s="1"/>
    </row>
    <row r="18" spans="1:9" x14ac:dyDescent="0.25">
      <c r="A18" s="1"/>
      <c r="B18" s="1"/>
      <c r="C18" s="34" t="s">
        <v>196</v>
      </c>
      <c r="D18" s="72" t="s">
        <v>162</v>
      </c>
      <c r="E18" s="73"/>
      <c r="F18" s="73"/>
      <c r="G18" s="74"/>
      <c r="H18" s="1"/>
      <c r="I18" s="1"/>
    </row>
    <row r="19" spans="1:9" x14ac:dyDescent="0.25">
      <c r="A19" s="1"/>
      <c r="B19" s="1"/>
      <c r="C19" s="34" t="s">
        <v>197</v>
      </c>
      <c r="D19" s="72" t="s">
        <v>163</v>
      </c>
      <c r="E19" s="73"/>
      <c r="F19" s="73"/>
      <c r="G19" s="74"/>
      <c r="H19" s="1"/>
      <c r="I19" s="1"/>
    </row>
    <row r="20" spans="1:9" x14ac:dyDescent="0.25">
      <c r="A20" s="1"/>
      <c r="B20" s="1"/>
      <c r="C20" s="34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198</v>
      </c>
      <c r="D21" s="63" t="s">
        <v>17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140</v>
      </c>
      <c r="D22" s="57" t="s">
        <v>161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225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58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199</v>
      </c>
      <c r="D25" s="57" t="s">
        <v>141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200</v>
      </c>
      <c r="D26" s="57" t="s">
        <v>142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201</v>
      </c>
      <c r="D27" s="57" t="s">
        <v>59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183</v>
      </c>
      <c r="D28" s="57" t="s">
        <v>60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61</v>
      </c>
      <c r="D29" s="54" t="s">
        <v>11</v>
      </c>
      <c r="E29" s="55"/>
      <c r="F29" s="55"/>
      <c r="G29" s="56"/>
      <c r="H29" s="1"/>
      <c r="I29" s="1"/>
    </row>
    <row r="30" spans="1:9" x14ac:dyDescent="0.25">
      <c r="A30" s="1"/>
      <c r="B30" s="1"/>
      <c r="C30" s="6" t="s">
        <v>62</v>
      </c>
      <c r="D30" s="60" t="s">
        <v>184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krXhgpeGbDlQZoPipgJL5C6hi/5hVQnYRtF/KhB/WOXhwsyi89ihH/4FJ/dvfmaKRwed19jdFEH/PKe1jz0kmw==" saltValue="jovuTAscoEdkT5pXDpuNaA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204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69</v>
      </c>
      <c r="C8" s="99"/>
      <c r="D8" s="100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238</v>
      </c>
      <c r="C10" s="9">
        <v>5289769</v>
      </c>
      <c r="D10" s="14" t="s">
        <v>3</v>
      </c>
      <c r="E10" s="1"/>
      <c r="F10" s="1"/>
    </row>
    <row r="11" spans="1:6" x14ac:dyDescent="0.25">
      <c r="A11" s="1"/>
      <c r="B11" s="48" t="s">
        <v>239</v>
      </c>
      <c r="C11" s="9">
        <v>32979</v>
      </c>
      <c r="D11" s="14" t="s">
        <v>3</v>
      </c>
      <c r="E11" s="1"/>
      <c r="F11" s="1"/>
    </row>
    <row r="12" spans="1:6" ht="26.25" x14ac:dyDescent="0.25">
      <c r="A12" s="1"/>
      <c r="B12" s="45" t="s">
        <v>240</v>
      </c>
      <c r="C12" s="9">
        <v>116809</v>
      </c>
      <c r="D12" s="14" t="s">
        <v>3</v>
      </c>
      <c r="E12" s="1"/>
      <c r="F12" s="1"/>
    </row>
    <row r="13" spans="1:6" x14ac:dyDescent="0.25">
      <c r="A13" s="1"/>
      <c r="B13" s="48" t="s">
        <v>241</v>
      </c>
      <c r="C13" s="9">
        <v>15612</v>
      </c>
      <c r="D13" s="14" t="s">
        <v>3</v>
      </c>
      <c r="E13" s="1"/>
      <c r="F13" s="1"/>
    </row>
    <row r="14" spans="1:6" x14ac:dyDescent="0.25">
      <c r="A14" s="1"/>
      <c r="B14" s="46" t="s">
        <v>71</v>
      </c>
      <c r="C14" s="12">
        <f>SUM(C10:C13)</f>
        <v>5455169</v>
      </c>
      <c r="D14" s="13" t="s">
        <v>3</v>
      </c>
      <c r="E14" s="1"/>
      <c r="F14" s="1"/>
    </row>
    <row r="15" spans="1:6" x14ac:dyDescent="0.25">
      <c r="A15" s="1"/>
      <c r="B15" s="46" t="s">
        <v>72</v>
      </c>
      <c r="C15" s="12">
        <f>C14*(1+'Fane 14. Nøgletal'!C12)^2</f>
        <v>5672219.7551372107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2DZK4wBb/yeckeLIXmvpdGeBHVvKRJMBHs8RC3lr+BS2RFiMxKuknNqonH3hu8c/2K276c3fWGedw8FUZViIkw==" saltValue="EPGP6T2YkZ48Q0HoUPvZ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205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8" t="s">
        <v>52</v>
      </c>
      <c r="C6" s="99"/>
      <c r="D6" s="99"/>
      <c r="E6" s="99"/>
      <c r="F6" s="100"/>
      <c r="G6" s="1"/>
    </row>
    <row r="7" spans="1:7" ht="15" customHeight="1" x14ac:dyDescent="0.25">
      <c r="A7" s="1"/>
      <c r="B7" s="101" t="s">
        <v>50</v>
      </c>
      <c r="C7" s="102"/>
      <c r="D7" s="103"/>
      <c r="E7" s="9">
        <v>866926.77333333343</v>
      </c>
      <c r="F7" s="14" t="s">
        <v>3</v>
      </c>
      <c r="G7" s="1"/>
    </row>
    <row r="8" spans="1:7" ht="15" customHeight="1" x14ac:dyDescent="0.25">
      <c r="A8" s="1"/>
      <c r="B8" s="101" t="s">
        <v>51</v>
      </c>
      <c r="C8" s="102"/>
      <c r="D8" s="103"/>
      <c r="E8" s="9">
        <v>-109041.0741219651</v>
      </c>
      <c r="F8" s="14" t="s">
        <v>3</v>
      </c>
      <c r="G8" s="1"/>
    </row>
    <row r="9" spans="1:7" ht="15" customHeight="1" x14ac:dyDescent="0.25">
      <c r="A9" s="1"/>
      <c r="B9" s="109" t="s">
        <v>186</v>
      </c>
      <c r="C9" s="110"/>
      <c r="D9" s="111"/>
      <c r="E9" s="10">
        <f>SUM(E7:E8)</f>
        <v>757885.69921136834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9" t="s">
        <v>188</v>
      </c>
      <c r="C11" s="90"/>
      <c r="D11" s="90"/>
      <c r="E11" s="90"/>
      <c r="F11" s="9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165</v>
      </c>
      <c r="C14" s="99"/>
      <c r="D14" s="99"/>
      <c r="E14" s="99"/>
      <c r="F14" s="100"/>
      <c r="G14" s="1"/>
    </row>
    <row r="15" spans="1:7" x14ac:dyDescent="0.25">
      <c r="A15" s="1"/>
      <c r="B15" s="101" t="s">
        <v>166</v>
      </c>
      <c r="C15" s="102"/>
      <c r="D15" s="103"/>
      <c r="E15" s="9">
        <v>12261375.369283633</v>
      </c>
      <c r="F15" s="14" t="s">
        <v>3</v>
      </c>
      <c r="G15" s="1"/>
    </row>
    <row r="16" spans="1:7" x14ac:dyDescent="0.25">
      <c r="A16" s="1"/>
      <c r="B16" s="101" t="s">
        <v>167</v>
      </c>
      <c r="C16" s="102"/>
      <c r="D16" s="103"/>
      <c r="E16" s="9">
        <v>14368354</v>
      </c>
      <c r="F16" s="14" t="s">
        <v>3</v>
      </c>
      <c r="G16" s="1"/>
    </row>
    <row r="17" spans="1:7" x14ac:dyDescent="0.25">
      <c r="A17" s="1"/>
      <c r="B17" s="101" t="s">
        <v>49</v>
      </c>
      <c r="C17" s="102"/>
      <c r="D17" s="103"/>
      <c r="E17" s="9">
        <v>0</v>
      </c>
      <c r="F17" s="14" t="s">
        <v>3</v>
      </c>
      <c r="G17" s="1"/>
    </row>
    <row r="18" spans="1:7" x14ac:dyDescent="0.25">
      <c r="A18" s="1"/>
      <c r="B18" s="109" t="s">
        <v>187</v>
      </c>
      <c r="C18" s="110"/>
      <c r="D18" s="111"/>
      <c r="E18" s="10">
        <f>E15-(E16-E17)</f>
        <v>-2106978.6307163667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9" t="s">
        <v>189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8" t="s">
        <v>77</v>
      </c>
      <c r="C23" s="99"/>
      <c r="D23" s="99"/>
      <c r="E23" s="99"/>
      <c r="F23" s="100"/>
      <c r="G23" s="1"/>
    </row>
    <row r="24" spans="1:7" x14ac:dyDescent="0.25">
      <c r="A24" s="1"/>
      <c r="B24" s="101" t="s">
        <v>78</v>
      </c>
      <c r="C24" s="102"/>
      <c r="D24" s="103"/>
      <c r="E24" s="9">
        <v>13395386.680203479</v>
      </c>
      <c r="F24" s="14" t="s">
        <v>3</v>
      </c>
      <c r="G24" s="1"/>
    </row>
    <row r="25" spans="1:7" x14ac:dyDescent="0.25">
      <c r="A25" s="1"/>
      <c r="B25" s="101" t="s">
        <v>79</v>
      </c>
      <c r="C25" s="102"/>
      <c r="D25" s="103"/>
      <c r="E25" s="9">
        <v>14331518</v>
      </c>
      <c r="F25" s="14" t="s">
        <v>3</v>
      </c>
      <c r="G25" s="1"/>
    </row>
    <row r="26" spans="1:7" x14ac:dyDescent="0.25">
      <c r="A26" s="1"/>
      <c r="B26" s="101" t="s">
        <v>49</v>
      </c>
      <c r="C26" s="102"/>
      <c r="D26" s="103"/>
      <c r="E26" s="9">
        <v>124558</v>
      </c>
      <c r="F26" s="14" t="s">
        <v>3</v>
      </c>
      <c r="G26" s="1"/>
    </row>
    <row r="27" spans="1:7" x14ac:dyDescent="0.25">
      <c r="A27" s="1"/>
      <c r="B27" s="109" t="s">
        <v>187</v>
      </c>
      <c r="C27" s="110"/>
      <c r="D27" s="111"/>
      <c r="E27" s="10">
        <f>E24-(E25-E26)</f>
        <v>-811573.31979652122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8" t="s">
        <v>245</v>
      </c>
      <c r="C31" s="99"/>
      <c r="D31" s="99"/>
      <c r="E31" s="99"/>
      <c r="F31" s="100"/>
      <c r="G31" s="1"/>
    </row>
    <row r="32" spans="1:7" x14ac:dyDescent="0.25">
      <c r="A32" s="1"/>
      <c r="B32" s="109" t="s">
        <v>246</v>
      </c>
      <c r="C32" s="110"/>
      <c r="D32" s="11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-674546.46575249918</v>
      </c>
      <c r="F32" s="17" t="s">
        <v>3</v>
      </c>
      <c r="G32" s="1"/>
    </row>
    <row r="33" spans="1:7" x14ac:dyDescent="0.25">
      <c r="A33" s="1"/>
      <c r="B33" s="98"/>
      <c r="C33" s="99"/>
      <c r="D33" s="99"/>
      <c r="E33" s="99"/>
      <c r="F33" s="100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8" t="s">
        <v>180</v>
      </c>
      <c r="C36" s="99"/>
      <c r="D36" s="99"/>
      <c r="E36" s="99"/>
      <c r="F36" s="100"/>
      <c r="G36" s="1"/>
    </row>
    <row r="37" spans="1:7" x14ac:dyDescent="0.25">
      <c r="A37" s="1"/>
      <c r="B37" s="112" t="s">
        <v>53</v>
      </c>
      <c r="C37" s="113"/>
      <c r="D37" s="114"/>
      <c r="E37" s="9">
        <f>IF(AND(E9&gt;0,E18&gt;0),IF(E18+E27&gt;=0,0,IF(E18+E27&lt;0,E18+E27,0)),IF(AND(E9&lt;0,E18&gt;0,ABS(E9)&lt;ABS(E18)),IF(E9+E18+E27&gt;=0,0,IF(E9+E18+E27&lt;0,E9+E18+E27,0)),IF(E27&gt;=0,0,E27)))</f>
        <v>-811573.31979652122</v>
      </c>
      <c r="F37" s="14" t="s">
        <v>3</v>
      </c>
      <c r="G37" s="1"/>
    </row>
    <row r="38" spans="1:7" x14ac:dyDescent="0.25">
      <c r="A38" s="1"/>
      <c r="B38" s="112" t="s">
        <v>185</v>
      </c>
      <c r="C38" s="113"/>
      <c r="D38" s="114"/>
      <c r="E38" s="9">
        <v>2</v>
      </c>
      <c r="F38" s="14" t="s">
        <v>27</v>
      </c>
      <c r="G38" s="1"/>
    </row>
    <row r="39" spans="1:7" ht="15" customHeight="1" x14ac:dyDescent="0.25">
      <c r="A39" s="1"/>
      <c r="B39" s="109" t="s">
        <v>227</v>
      </c>
      <c r="C39" s="110"/>
      <c r="D39" s="111"/>
      <c r="E39" s="10">
        <f>E37/E38</f>
        <v>-405786.65989826061</v>
      </c>
      <c r="F39" s="17" t="s">
        <v>3</v>
      </c>
      <c r="G39" s="1"/>
    </row>
    <row r="40" spans="1:7" x14ac:dyDescent="0.25">
      <c r="A40" s="1"/>
      <c r="B40" s="98"/>
      <c r="C40" s="99"/>
      <c r="D40" s="99"/>
      <c r="E40" s="99"/>
      <c r="F40" s="100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nKKf30HD2Gq3krGSaGNA9+2gWnMl4JUz7Ly6pxbMMPCyzyHSNQMrIos5pEPpse2/Ebdejzvk9pFATfZKDtWYg==" saltValue="F67hsn5zIOxWP/jx9UDVuw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228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159</v>
      </c>
      <c r="C8" s="99"/>
      <c r="D8" s="99"/>
      <c r="E8" s="99"/>
      <c r="F8" s="99"/>
      <c r="G8" s="1"/>
    </row>
    <row r="9" spans="1:7" ht="29.25" customHeight="1" x14ac:dyDescent="0.25">
      <c r="A9" s="1"/>
      <c r="B9" s="95" t="s">
        <v>164</v>
      </c>
      <c r="C9" s="96"/>
      <c r="D9" s="97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15689.074750496249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15689.074750496249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UZQEhAjL5ihwHuiKqQmuCrPUsy4+M3dAcRn3eSvJLkBG892DLcyE1VPobFk4Gs/N3wy7Bqh3upDhdtieIkT+A==" saltValue="Vahev4hcozi2CmZ3h3nC0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229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230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25">
      <c r="A10" s="1"/>
      <c r="B10" s="51" t="s">
        <v>236</v>
      </c>
      <c r="C10" s="52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8" t="s">
        <v>231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o3Un0fFVJtuzViFVkSvH/Y5+x2XlhYC351s45SdaUceKc4e21p8f49+8iv3n634Avj7u2J1MzwCeRgTkArlXA==" saltValue="NkUANnLC3VkApiPXcaxrq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237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53" t="s">
        <v>234</v>
      </c>
      <c r="C11" s="24">
        <v>69787</v>
      </c>
      <c r="D11" s="14" t="s">
        <v>3</v>
      </c>
      <c r="E11" s="9">
        <v>216843</v>
      </c>
      <c r="F11" s="14" t="s">
        <v>3</v>
      </c>
      <c r="G11" s="1"/>
    </row>
    <row r="12" spans="1:7" x14ac:dyDescent="0.25">
      <c r="A12" s="1"/>
      <c r="B12" s="27" t="s">
        <v>235</v>
      </c>
      <c r="C12" s="24">
        <v>6437</v>
      </c>
      <c r="D12" s="14" t="s">
        <v>3</v>
      </c>
      <c r="E12" s="9">
        <v>17034</v>
      </c>
      <c r="F12" s="14" t="s">
        <v>3</v>
      </c>
      <c r="G12" s="1"/>
    </row>
    <row r="13" spans="1:7" x14ac:dyDescent="0.25">
      <c r="A13" s="1"/>
      <c r="B13" s="46" t="s">
        <v>63</v>
      </c>
      <c r="C13" s="12">
        <f>SUM(C10:C12)</f>
        <v>76224</v>
      </c>
      <c r="D13" s="13" t="s">
        <v>3</v>
      </c>
      <c r="E13" s="12">
        <f>SUM(E10:E12)</f>
        <v>233877</v>
      </c>
      <c r="F13" s="13" t="s">
        <v>3</v>
      </c>
      <c r="G13" s="1"/>
    </row>
    <row r="14" spans="1:7" x14ac:dyDescent="0.25">
      <c r="A14" s="1"/>
      <c r="B14" s="46" t="s">
        <v>74</v>
      </c>
      <c r="C14" s="12">
        <f>C13*(1+'Fane 14. Nøgletal'!C12)</f>
        <v>77725.612800000003</v>
      </c>
      <c r="D14" s="13" t="s">
        <v>3</v>
      </c>
      <c r="E14" s="12">
        <f>E13*(1+'Fane 14. Nøgletal'!C12)</f>
        <v>238484.3769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hGHWXOLLVWXbfZK0xXSlchqvG9bQ1HJJvVI/6bEUnBvit+if5VyPOr8LmowVde+GS+iYnjUFyyHAodap+36GhA==" saltValue="s759U07BbFgiUZKCEwNL9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168</v>
      </c>
      <c r="C8" s="99"/>
      <c r="D8" s="99"/>
      <c r="E8" s="99"/>
      <c r="F8" s="100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169</v>
      </c>
      <c r="C16" s="99"/>
      <c r="D16" s="99"/>
      <c r="E16" s="99"/>
      <c r="F16" s="100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243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170</v>
      </c>
      <c r="C24" s="99"/>
      <c r="D24" s="99"/>
      <c r="E24" s="99"/>
      <c r="F24" s="100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243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171</v>
      </c>
      <c r="C32" s="99"/>
      <c r="D32" s="99"/>
      <c r="E32" s="99"/>
      <c r="F32" s="100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243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XhMu8h1+OgonE/tLNWQZlH8XXfuhZdw+iwP2AIdO7BLFYyYNmLawN4W2INXKAq68MunopNY+Zbg4r6lFrWRbw==" saltValue="+KX5jFeLdEZyk67KD6Q1t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208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31</v>
      </c>
      <c r="C8" s="99"/>
      <c r="D8" s="99"/>
      <c r="E8" s="99"/>
      <c r="F8" s="100"/>
      <c r="G8" s="1"/>
    </row>
    <row r="9" spans="1:7" ht="15" customHeight="1" x14ac:dyDescent="0.25">
      <c r="A9" s="1"/>
      <c r="B9" s="40" t="s">
        <v>32</v>
      </c>
      <c r="C9" s="95" t="s">
        <v>16</v>
      </c>
      <c r="D9" s="97"/>
      <c r="E9" s="95" t="s">
        <v>47</v>
      </c>
      <c r="F9" s="97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tu4KhgQImlMAGuzffZm4/K6ogBEkqhjT91SVujLfo8qHusUjIf5aNHXrePRGr8LRHhaB6sVZdC/ajKcSXLPPA==" saltValue="WwBu9ktr3nuWyC5EGHqJ5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209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8" t="s">
        <v>157</v>
      </c>
      <c r="C15" s="99"/>
      <c r="D15" s="99"/>
      <c r="E15" s="99"/>
      <c r="F15" s="100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8" t="s">
        <v>155</v>
      </c>
      <c r="C22" s="99"/>
      <c r="D22" s="99"/>
      <c r="E22" s="99"/>
      <c r="F22" s="100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158</v>
      </c>
      <c r="C29" s="99"/>
      <c r="D29" s="99"/>
      <c r="E29" s="99"/>
      <c r="F29" s="100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xg+Fids6S6NEz79g7JkVMUobDXsUUcYlvqC27oe9lEirZCxbfcC1S45OlWymEPgPSnllLfmvjz5UHtRiSFgYQ==" saltValue="vDavYdUgOObtgjjiIMg9k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18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12</v>
      </c>
      <c r="C9" s="102"/>
      <c r="D9" s="102"/>
      <c r="E9" s="102"/>
      <c r="F9" s="103"/>
      <c r="G9" s="9">
        <v>5230059</v>
      </c>
      <c r="H9" s="14" t="s">
        <v>3</v>
      </c>
      <c r="I9" s="1"/>
    </row>
    <row r="10" spans="1:9" x14ac:dyDescent="0.25">
      <c r="A10" s="1"/>
      <c r="B10" s="101" t="s">
        <v>135</v>
      </c>
      <c r="C10" s="102"/>
      <c r="D10" s="102"/>
      <c r="E10" s="102"/>
      <c r="F10" s="103"/>
      <c r="G10" s="9">
        <v>0</v>
      </c>
      <c r="H10" s="14" t="s">
        <v>3</v>
      </c>
      <c r="I10" s="1"/>
    </row>
    <row r="11" spans="1:9" x14ac:dyDescent="0.25">
      <c r="A11" s="1"/>
      <c r="B11" s="101" t="s">
        <v>80</v>
      </c>
      <c r="C11" s="102"/>
      <c r="D11" s="102"/>
      <c r="E11" s="102"/>
      <c r="F11" s="103"/>
      <c r="G11" s="9">
        <v>-4694790.1349206353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535268.86507936474</v>
      </c>
      <c r="H12" s="18" t="s">
        <v>3</v>
      </c>
      <c r="I12" s="1"/>
    </row>
    <row r="13" spans="1:9" x14ac:dyDescent="0.25">
      <c r="A13" s="1"/>
      <c r="B13" s="101" t="s">
        <v>13</v>
      </c>
      <c r="C13" s="102"/>
      <c r="D13" s="102"/>
      <c r="E13" s="102"/>
      <c r="F13" s="103"/>
      <c r="G13" s="9">
        <v>1</v>
      </c>
      <c r="H13" s="14" t="s">
        <v>27</v>
      </c>
      <c r="I13" s="1"/>
    </row>
    <row r="14" spans="1:9" x14ac:dyDescent="0.25">
      <c r="A14" s="1"/>
      <c r="B14" s="98" t="s">
        <v>136</v>
      </c>
      <c r="C14" s="99"/>
      <c r="D14" s="99"/>
      <c r="E14" s="99"/>
      <c r="F14" s="100"/>
      <c r="G14" s="12">
        <f>IF(G13 = 0,0,-G12/G13)</f>
        <v>-535268.86507936474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qasud4w3OU1Dx3zmKtWqhNpS+f1nOQ46BhoidqhlvZOsbfD5FtlplMpDAr23nAQhuKmsp4yujqF1Nit7p6CRA==" saltValue="Ypls0yqBS0nRx677SmR6A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5" t="s">
        <v>54</v>
      </c>
      <c r="C3" s="85"/>
      <c r="D3" s="1"/>
    </row>
    <row r="4" spans="1:4" ht="25.5" customHeight="1" x14ac:dyDescent="0.25">
      <c r="A4" s="1"/>
      <c r="B4" s="85"/>
      <c r="C4" s="8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8"/>
      <c r="C13" s="100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FUB8wUC0tWEjUNUrssRO1GcDFxKHvE+/uBajgZ/D0v0I3ru1YzS0luQLxXb3GnhV3ZVI8HoW84TQPDMUvv4XZw==" saltValue="2sIeVGLG9fyQBWkXwOwT1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65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8916778.9377818033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77725.612800000003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238484.3769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242</v>
      </c>
      <c r="C16" s="9">
        <f>199793*1.0111*1.005*1.023*1.031*1.015*1.0008*0.9962*1.0127*1.0175*1.0197</f>
        <v>227678.62646872076</v>
      </c>
      <c r="D16" s="8" t="s">
        <v>3</v>
      </c>
      <c r="E16" s="1"/>
    </row>
    <row r="17" spans="1:5" ht="17.100000000000001" customHeight="1" x14ac:dyDescent="0.25">
      <c r="A17" s="1"/>
      <c r="B17" s="32" t="s">
        <v>26</v>
      </c>
      <c r="C17" s="9">
        <f>C9*'Fane 14. Nøgletal'!C11+SUM(C10:C16)*'Fane 14. Nøgletal'!C12</f>
        <v>161408.16978703626</v>
      </c>
      <c r="D17" s="8" t="s">
        <v>3</v>
      </c>
      <c r="E17" s="1"/>
    </row>
    <row r="18" spans="1:5" ht="17.100000000000001" customHeight="1" x14ac:dyDescent="0.25">
      <c r="A18" s="1"/>
      <c r="B18" s="32" t="s">
        <v>10</v>
      </c>
      <c r="C18" s="9">
        <f>-SUM(C9:C17)*'Fane 5. Individuelt eff. krav'!G10</f>
        <v>-154957.14046251183</v>
      </c>
      <c r="D18" s="8" t="s">
        <v>3</v>
      </c>
      <c r="E18" s="1"/>
    </row>
    <row r="19" spans="1:5" ht="17.100000000000001" customHeight="1" x14ac:dyDescent="0.25">
      <c r="A19" s="1"/>
      <c r="B19" s="32" t="s">
        <v>38</v>
      </c>
      <c r="C19" s="9">
        <f>-'Fane 4.1. Gen. krav - drift'!G26</f>
        <v>-74001.045899037752</v>
      </c>
      <c r="D19" s="8" t="s">
        <v>3</v>
      </c>
      <c r="E19" s="1"/>
    </row>
    <row r="20" spans="1:5" ht="17.100000000000001" customHeight="1" x14ac:dyDescent="0.25">
      <c r="A20" s="1"/>
      <c r="B20" s="32" t="s">
        <v>39</v>
      </c>
      <c r="C20" s="9">
        <f>-'Fane 4.2. Gen. krav - anlæg'!G25</f>
        <v>-62188.039766976181</v>
      </c>
      <c r="D20" s="8" t="s">
        <v>3</v>
      </c>
      <c r="E20" s="1"/>
    </row>
    <row r="21" spans="1:5" ht="17.100000000000001" customHeight="1" x14ac:dyDescent="0.25">
      <c r="A21" s="1"/>
      <c r="B21" s="50" t="s">
        <v>28</v>
      </c>
      <c r="C21" s="10">
        <f>SUM(C9:C20)</f>
        <v>9330929.4976090342</v>
      </c>
      <c r="D21" s="11" t="s">
        <v>3</v>
      </c>
      <c r="E21" s="1"/>
    </row>
    <row r="22" spans="1:5" ht="15" customHeight="1" x14ac:dyDescent="0.25">
      <c r="A22" s="1"/>
      <c r="B22" s="46" t="s">
        <v>17</v>
      </c>
      <c r="C22" s="47"/>
      <c r="D22" s="22"/>
      <c r="E22" s="1"/>
    </row>
    <row r="23" spans="1:5" ht="15" customHeight="1" x14ac:dyDescent="0.25">
      <c r="A23" s="1"/>
      <c r="B23" s="40" t="s">
        <v>17</v>
      </c>
      <c r="C23" s="10">
        <f>'Fane 6. Ikke-påvirkelige omk.'!C15</f>
        <v>5672219.7551372107</v>
      </c>
      <c r="D23" s="11" t="s">
        <v>3</v>
      </c>
      <c r="E23" s="1"/>
    </row>
    <row r="24" spans="1:5" ht="15" customHeight="1" x14ac:dyDescent="0.25">
      <c r="A24" s="1"/>
      <c r="B24" s="46" t="s">
        <v>142</v>
      </c>
      <c r="C24" s="47"/>
      <c r="D24" s="22"/>
      <c r="E24" s="1"/>
    </row>
    <row r="25" spans="1:5" ht="15" customHeight="1" x14ac:dyDescent="0.25">
      <c r="A25" s="1"/>
      <c r="B25" s="32" t="s">
        <v>138</v>
      </c>
      <c r="C25" s="9">
        <f>'Fane 10.2. Engangstillæg'!C14</f>
        <v>0</v>
      </c>
      <c r="D25" s="8" t="s">
        <v>3</v>
      </c>
      <c r="E25" s="1"/>
    </row>
    <row r="26" spans="1:5" ht="15" customHeight="1" x14ac:dyDescent="0.25">
      <c r="A26" s="1"/>
      <c r="B26" s="32" t="s">
        <v>139</v>
      </c>
      <c r="C26" s="9">
        <f>'Fane 10.2. Engangstillæg'!E14</f>
        <v>0</v>
      </c>
      <c r="D26" s="8" t="s">
        <v>3</v>
      </c>
      <c r="E26" s="1"/>
    </row>
    <row r="27" spans="1:5" x14ac:dyDescent="0.25">
      <c r="A27" s="1"/>
      <c r="B27" s="50" t="s">
        <v>143</v>
      </c>
      <c r="C27" s="10">
        <f>SUM(C25:C26)</f>
        <v>0</v>
      </c>
      <c r="D27" s="11" t="s">
        <v>3</v>
      </c>
      <c r="E27" s="1"/>
    </row>
    <row r="28" spans="1:5" x14ac:dyDescent="0.25">
      <c r="A28" s="1"/>
      <c r="B28" s="46" t="s">
        <v>11</v>
      </c>
      <c r="C28" s="47"/>
      <c r="D28" s="22"/>
      <c r="E28" s="1"/>
    </row>
    <row r="29" spans="1:5" ht="15" customHeight="1" x14ac:dyDescent="0.25">
      <c r="A29" s="1"/>
      <c r="B29" s="40" t="s">
        <v>19</v>
      </c>
      <c r="C29" s="10">
        <f>'Fane 13. Hist. over-underdæk.'!G14</f>
        <v>-535268.86507936474</v>
      </c>
      <c r="D29" s="11" t="s">
        <v>3</v>
      </c>
      <c r="E29" s="1"/>
    </row>
    <row r="30" spans="1:5" ht="15" customHeight="1" x14ac:dyDescent="0.25">
      <c r="A30" s="1"/>
      <c r="B30" s="46" t="s">
        <v>53</v>
      </c>
      <c r="C30" s="47"/>
      <c r="D30" s="22"/>
      <c r="E30" s="1"/>
    </row>
    <row r="31" spans="1:5" x14ac:dyDescent="0.25">
      <c r="A31" s="1"/>
      <c r="B31" s="40" t="s">
        <v>218</v>
      </c>
      <c r="C31" s="10">
        <f>'Fane 7. Kontrol af ØR2018'!E32</f>
        <v>-674546.46575249918</v>
      </c>
      <c r="D31" s="11" t="s">
        <v>3</v>
      </c>
      <c r="E31" s="1"/>
    </row>
    <row r="32" spans="1:5" x14ac:dyDescent="0.25">
      <c r="A32" s="1"/>
      <c r="B32" s="46" t="s">
        <v>225</v>
      </c>
      <c r="C32" s="47"/>
      <c r="D32" s="22"/>
      <c r="E32" s="1"/>
    </row>
    <row r="33" spans="1:5" x14ac:dyDescent="0.25">
      <c r="A33" s="1"/>
      <c r="B33" s="40" t="s">
        <v>226</v>
      </c>
      <c r="C33" s="10">
        <f>'Fane 8. Korrektioner'!E10</f>
        <v>15689.074750496249</v>
      </c>
      <c r="D33" s="11" t="s">
        <v>3</v>
      </c>
      <c r="E33" s="1"/>
    </row>
    <row r="34" spans="1:5" x14ac:dyDescent="0.25">
      <c r="A34" s="1"/>
      <c r="B34" s="46" t="s">
        <v>35</v>
      </c>
      <c r="C34" s="33">
        <f>SUM(C21,C23,C27,C29,C31,C33)</f>
        <v>13809022.996664878</v>
      </c>
      <c r="D34" s="22" t="s">
        <v>3</v>
      </c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9j850oQvPkeF9buu0nNTIJzs6SsQu1+PNwlcTMTWboeo+ErZGEXWh538sRO+eMkimF9kAV8ybCYsM1o86lVOA==" saltValue="R6UiG0q+T60nJwGgaE8Sx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2020'!C21</f>
        <v>9330929.4976090342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183819.31110289795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-153228.71176120723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-73949.689173183826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-174032.09310502352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9113538.3146725185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omk.'!C15*(1+'Fane 14. Nøgletal'!C12)</f>
        <v>5783962.4843134144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-405786.65989826061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14491714.139087671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tm8mfCFS+8Unpex9MF0Q0UnYVh102KljRflFhTs7C1AR4Idw+omOhn9xN49SjygVAFFqG0w2616r3xwRhKKGA==" saltValue="FxlYOjsC6ecq0g203fLX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193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2.2. Økonomisk ramme 2021'!C16</f>
        <v>9113538.3146725185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179536.7047990486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-149658.8025771176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-73898.368088897638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-172420.64641955943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8897097.2023859937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Nøgletal'!C12)^2</f>
        <v>5897906.5452543879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-405786.65989826061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14389217.087742122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JjG2/WOEZ9efj6RdIPwIu4Zw589ZbaGEG6axTREncr/ZUJh8Kc7BuWRSVsKcHh3e2LzAUaZ3ICyVVf0+oNlYg==" saltValue="mEJgkGTR6ZRuRsHd6r3i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244</v>
      </c>
      <c r="C8" s="7">
        <f>'Fane 2.3. Økonomisk ramme 2022'!C15</f>
        <v>8897097.2023859937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175272.81488700406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-146104.49506506047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-73847.082621443944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-170824.12089245045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8681594.318694042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Nøgletal'!C12)^3</f>
        <v>6014095.3041958995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14695689.622889942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2IBqwuGA28aDxat02wfzgH5m+4BNeaKS6lPF+GJu3nFm0h+3XHsU11Hle6khi3/pracvt/e8jhoZq7ynHP6EGw==" saltValue="pwxi7zO0nVKV5GCsbXbc6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221</v>
      </c>
      <c r="C3" s="85"/>
      <c r="D3" s="85"/>
      <c r="E3" s="85"/>
      <c r="F3" s="85"/>
      <c r="G3" s="1"/>
    </row>
    <row r="4" spans="1:7" ht="29.2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6" t="s">
        <v>81</v>
      </c>
      <c r="C9" s="87"/>
      <c r="D9" s="88"/>
      <c r="E9" s="7">
        <v>8649088.7996972334</v>
      </c>
      <c r="F9" s="8" t="s">
        <v>3</v>
      </c>
      <c r="G9" s="1"/>
    </row>
    <row r="10" spans="1:7" x14ac:dyDescent="0.25">
      <c r="A10" s="1"/>
      <c r="B10" s="86" t="s">
        <v>82</v>
      </c>
      <c r="C10" s="87"/>
      <c r="D10" s="88"/>
      <c r="E10" s="7">
        <v>-20518.026688120022</v>
      </c>
      <c r="F10" s="8" t="s">
        <v>3</v>
      </c>
      <c r="G10" s="1"/>
    </row>
    <row r="11" spans="1:7" x14ac:dyDescent="0.25">
      <c r="A11" s="1"/>
      <c r="B11" s="86" t="s">
        <v>83</v>
      </c>
      <c r="C11" s="87"/>
      <c r="D11" s="88"/>
      <c r="E11" s="7">
        <v>404444.35855994455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152657.95572351705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-147929.1657743695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-72665.734546967025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-48299.24918943474</v>
      </c>
      <c r="F21" s="8" t="s">
        <v>3</v>
      </c>
      <c r="G21" s="1"/>
    </row>
    <row r="22" spans="1:7" x14ac:dyDescent="0.25">
      <c r="A22" s="1"/>
      <c r="B22" s="92" t="s">
        <v>28</v>
      </c>
      <c r="C22" s="93"/>
      <c r="D22" s="94"/>
      <c r="E22" s="10">
        <f>SUM(E9:E21)</f>
        <v>8916778.9377818033</v>
      </c>
      <c r="F22" s="11" t="s">
        <v>3</v>
      </c>
      <c r="G22" s="1"/>
    </row>
    <row r="23" spans="1:7" x14ac:dyDescent="0.25">
      <c r="A23" s="1"/>
      <c r="B23" s="80" t="s">
        <v>17</v>
      </c>
      <c r="C23" s="81"/>
      <c r="D23" s="81"/>
      <c r="E23" s="47"/>
      <c r="F23" s="22"/>
      <c r="G23" s="1"/>
    </row>
    <row r="24" spans="1:7" x14ac:dyDescent="0.25">
      <c r="A24" s="1"/>
      <c r="B24" s="82" t="s">
        <v>17</v>
      </c>
      <c r="C24" s="83"/>
      <c r="D24" s="84"/>
      <c r="E24" s="10">
        <v>5634744.8979173191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5" t="s">
        <v>132</v>
      </c>
      <c r="C26" s="96"/>
      <c r="D26" s="97"/>
      <c r="E26" s="10">
        <v>13522.22764397235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82" t="s">
        <v>19</v>
      </c>
      <c r="C28" s="83"/>
      <c r="D28" s="84"/>
      <c r="E28" s="10">
        <v>-535268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82" t="s">
        <v>131</v>
      </c>
      <c r="C30" s="83"/>
      <c r="D30" s="84"/>
      <c r="E30" s="10">
        <v>-690681.44586014398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13339096.617482951</v>
      </c>
      <c r="F31" s="13" t="s">
        <v>3</v>
      </c>
      <c r="G31" s="1"/>
    </row>
    <row r="32" spans="1:7" ht="28.15" customHeight="1" x14ac:dyDescent="0.25">
      <c r="A32" s="1"/>
      <c r="B32" s="89" t="s">
        <v>189</v>
      </c>
      <c r="C32" s="90"/>
      <c r="D32" s="90"/>
      <c r="E32" s="90"/>
      <c r="F32" s="9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AREBEcvdSzTymKEJKQbeAgo5AbJa58hCC+/oSZsn9zzZ/k15FIcZ7TjIh6+Op4dH7P9eMI+LYZwFC9sop5WRg==" saltValue="2USXO7mw1s3IRSnu/lw9dg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5" t="s">
        <v>202</v>
      </c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98" t="s">
        <v>97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86</v>
      </c>
      <c r="C6" s="102"/>
      <c r="D6" s="102"/>
      <c r="E6" s="102"/>
      <c r="F6" s="103"/>
      <c r="G6" s="26">
        <v>3694667.3391598254</v>
      </c>
      <c r="H6" s="14" t="s">
        <v>3</v>
      </c>
      <c r="I6" s="1"/>
    </row>
    <row r="7" spans="1:9" x14ac:dyDescent="0.25">
      <c r="A7" s="1"/>
      <c r="B7" s="101" t="s">
        <v>87</v>
      </c>
      <c r="C7" s="102"/>
      <c r="D7" s="102"/>
      <c r="E7" s="102"/>
      <c r="F7" s="103"/>
      <c r="G7" s="26">
        <f>G6*'Fane 14. Nøgletal'!C25</f>
        <v>73893.34678319651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98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88</v>
      </c>
      <c r="C11" s="102"/>
      <c r="D11" s="102"/>
      <c r="E11" s="102"/>
      <c r="F11" s="103"/>
      <c r="G11" s="26">
        <f>(G6-G7)*(1+'Fane 14. Nøgletal'!C9)</f>
        <v>3666757.8220798117</v>
      </c>
      <c r="H11" s="14" t="s">
        <v>3</v>
      </c>
      <c r="I11" s="1"/>
    </row>
    <row r="12" spans="1:9" x14ac:dyDescent="0.25">
      <c r="A12" s="1"/>
      <c r="B12" s="104" t="s">
        <v>89</v>
      </c>
      <c r="C12" s="105"/>
      <c r="D12" s="105"/>
      <c r="E12" s="105"/>
      <c r="F12" s="106"/>
      <c r="G12" s="26">
        <v>0</v>
      </c>
      <c r="H12" s="14" t="s">
        <v>3</v>
      </c>
      <c r="I12" s="1"/>
    </row>
    <row r="13" spans="1:9" x14ac:dyDescent="0.25">
      <c r="A13" s="1"/>
      <c r="B13" s="101" t="s">
        <v>90</v>
      </c>
      <c r="C13" s="102"/>
      <c r="D13" s="102"/>
      <c r="E13" s="102"/>
      <c r="F13" s="103"/>
      <c r="G13" s="26">
        <f>(G11+G12)*'Fane 14. Nøgletal'!C25</f>
        <v>73335.156441596235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99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1" t="s">
        <v>91</v>
      </c>
      <c r="C17" s="102"/>
      <c r="D17" s="102"/>
      <c r="E17" s="102"/>
      <c r="F17" s="103"/>
      <c r="G17" s="26">
        <f>(G13/'Fane 14. Nøgletal'!C25-G13)*(1+'Fane 14. Nøgletal'!C11)</f>
        <v>3654151.5086875008</v>
      </c>
      <c r="H17" s="14" t="s">
        <v>3</v>
      </c>
      <c r="I17" s="1"/>
    </row>
    <row r="18" spans="1:9" x14ac:dyDescent="0.25">
      <c r="A18" s="1"/>
      <c r="B18" s="101" t="s">
        <v>222</v>
      </c>
      <c r="C18" s="102"/>
      <c r="D18" s="102"/>
      <c r="E18" s="102"/>
      <c r="F18" s="103"/>
      <c r="G18" s="26">
        <v>-20864.781339149249</v>
      </c>
      <c r="H18" s="14" t="s">
        <v>3</v>
      </c>
      <c r="I18" s="1"/>
    </row>
    <row r="19" spans="1:9" x14ac:dyDescent="0.25">
      <c r="A19" s="1"/>
      <c r="B19" s="104" t="s">
        <v>92</v>
      </c>
      <c r="C19" s="105"/>
      <c r="D19" s="105"/>
      <c r="E19" s="105"/>
      <c r="F19" s="106"/>
      <c r="G19" s="26">
        <v>0</v>
      </c>
      <c r="H19" s="14" t="s">
        <v>3</v>
      </c>
      <c r="I19" s="1"/>
    </row>
    <row r="20" spans="1:9" x14ac:dyDescent="0.25">
      <c r="A20" s="1"/>
      <c r="B20" s="101" t="s">
        <v>93</v>
      </c>
      <c r="C20" s="102"/>
      <c r="D20" s="102"/>
      <c r="E20" s="102"/>
      <c r="F20" s="103"/>
      <c r="G20" s="26">
        <f>SUM(G17:G19)*'Fane 14. Nøgletal'!C25</f>
        <v>72665.734546967025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100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94</v>
      </c>
      <c r="C24" s="102"/>
      <c r="D24" s="102"/>
      <c r="E24" s="102"/>
      <c r="F24" s="103"/>
      <c r="G24" s="26">
        <f>(SUM(G17:G19)-G20)*(1+'Fane 14. Nøgletal'!C11)</f>
        <v>3620795.4875797275</v>
      </c>
      <c r="H24" s="14" t="s">
        <v>3</v>
      </c>
      <c r="I24" s="1"/>
    </row>
    <row r="25" spans="1:9" x14ac:dyDescent="0.25">
      <c r="A25" s="1"/>
      <c r="B25" s="104" t="s">
        <v>95</v>
      </c>
      <c r="C25" s="105"/>
      <c r="D25" s="105"/>
      <c r="E25" s="105"/>
      <c r="F25" s="106"/>
      <c r="G25" s="26">
        <f>('Fane 2.1. Økonomisk ramme 2020'!C10+'Fane 2.1. Økonomisk ramme 2020'!C12+'Fane 2.1. Økonomisk ramme 2020'!C14)*(1+'Fane 14. Nøgletal'!C12)</f>
        <v>79256.807372160009</v>
      </c>
      <c r="H25" s="14" t="s">
        <v>3</v>
      </c>
      <c r="I25" s="1"/>
    </row>
    <row r="26" spans="1:9" x14ac:dyDescent="0.25">
      <c r="A26" s="1"/>
      <c r="B26" s="101" t="s">
        <v>96</v>
      </c>
      <c r="C26" s="102"/>
      <c r="D26" s="102"/>
      <c r="E26" s="102"/>
      <c r="F26" s="103"/>
      <c r="G26" s="26">
        <f>(G24+G25)*'Fane 14. Nøgletal'!C25</f>
        <v>74001.045899037752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8" t="s">
        <v>191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1" t="s">
        <v>103</v>
      </c>
      <c r="C30" s="102"/>
      <c r="D30" s="102"/>
      <c r="E30" s="102"/>
      <c r="F30" s="103"/>
      <c r="G30" s="26">
        <f>(G24+G25-G26)*(1+'Fane 14. Nøgletal'!C12)</f>
        <v>3697484.4586591912</v>
      </c>
      <c r="H30" s="14" t="s">
        <v>3</v>
      </c>
      <c r="I30" s="1"/>
    </row>
    <row r="31" spans="1:9" x14ac:dyDescent="0.25">
      <c r="A31" s="1"/>
      <c r="B31" s="101" t="s">
        <v>145</v>
      </c>
      <c r="C31" s="102"/>
      <c r="D31" s="102"/>
      <c r="E31" s="102"/>
      <c r="F31" s="103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1" t="s">
        <v>220</v>
      </c>
      <c r="C32" s="102"/>
      <c r="D32" s="102"/>
      <c r="E32" s="102"/>
      <c r="F32" s="103"/>
      <c r="G32" s="26">
        <f>(G30+G31)*'Fane 14. Nøgletal'!C25</f>
        <v>73949.689173183826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8" t="s">
        <v>126</v>
      </c>
      <c r="C35" s="99"/>
      <c r="D35" s="99"/>
      <c r="E35" s="99"/>
      <c r="F35" s="99"/>
      <c r="G35" s="99"/>
      <c r="H35" s="100"/>
      <c r="I35" s="1"/>
    </row>
    <row r="36" spans="1:9" x14ac:dyDescent="0.25">
      <c r="A36" s="1"/>
      <c r="B36" s="101" t="s">
        <v>125</v>
      </c>
      <c r="C36" s="102"/>
      <c r="D36" s="102"/>
      <c r="E36" s="102"/>
      <c r="F36" s="103"/>
      <c r="G36" s="26">
        <f>(G30-G32)*(1+'Fane 14. Nøgletal'!C12)</f>
        <v>3694918.4044448817</v>
      </c>
      <c r="H36" s="14" t="s">
        <v>3</v>
      </c>
      <c r="I36" s="1"/>
    </row>
    <row r="37" spans="1:9" x14ac:dyDescent="0.25">
      <c r="A37" s="1"/>
      <c r="B37" s="101" t="s">
        <v>146</v>
      </c>
      <c r="C37" s="102"/>
      <c r="D37" s="102"/>
      <c r="E37" s="102"/>
      <c r="F37" s="103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1" t="s">
        <v>104</v>
      </c>
      <c r="C38" s="102"/>
      <c r="D38" s="102"/>
      <c r="E38" s="102"/>
      <c r="F38" s="103"/>
      <c r="G38" s="26">
        <f>(G36+G37)*'Fane 14. Nøgletal'!C25</f>
        <v>73898.368088897638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8" t="s">
        <v>127</v>
      </c>
      <c r="C41" s="99"/>
      <c r="D41" s="99"/>
      <c r="E41" s="99"/>
      <c r="F41" s="99"/>
      <c r="G41" s="99"/>
      <c r="H41" s="100"/>
      <c r="I41" s="1"/>
    </row>
    <row r="42" spans="1:9" x14ac:dyDescent="0.25">
      <c r="A42" s="1"/>
      <c r="B42" s="101" t="s">
        <v>124</v>
      </c>
      <c r="C42" s="102"/>
      <c r="D42" s="102"/>
      <c r="E42" s="102"/>
      <c r="F42" s="103"/>
      <c r="G42" s="26">
        <f>(G36-G38)*(1+'Fane 14. Nøgletal'!C12)</f>
        <v>3692354.1310721971</v>
      </c>
      <c r="H42" s="14" t="s">
        <v>3</v>
      </c>
      <c r="I42" s="1"/>
    </row>
    <row r="43" spans="1:9" x14ac:dyDescent="0.25">
      <c r="A43" s="1"/>
      <c r="B43" s="101" t="s">
        <v>147</v>
      </c>
      <c r="C43" s="102"/>
      <c r="D43" s="102"/>
      <c r="E43" s="102"/>
      <c r="F43" s="103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1" t="s">
        <v>105</v>
      </c>
      <c r="C44" s="102"/>
      <c r="D44" s="102"/>
      <c r="E44" s="102"/>
      <c r="F44" s="103"/>
      <c r="G44" s="26">
        <f>(G42+G43)*'Fane 14. Nøgletal'!C25</f>
        <v>73847.082621443944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kVH3Sezfl9p4m0PqgdtVA7kMx/OWbSNYTJp9Gsx/J68we/fBVR8jPXEW7ek3qIpzJeWmHtetG8UYdVrokljxw==" saltValue="rLz2T5TrzV3zXhx2m/X1gQ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7" t="s">
        <v>203</v>
      </c>
      <c r="C2" s="107"/>
      <c r="D2" s="107"/>
      <c r="E2" s="107"/>
      <c r="F2" s="107"/>
      <c r="G2" s="107"/>
      <c r="H2" s="107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8" t="s">
        <v>101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106</v>
      </c>
      <c r="C5" s="102"/>
      <c r="D5" s="102"/>
      <c r="E5" s="102"/>
      <c r="F5" s="103"/>
      <c r="G5" s="26">
        <v>5083638.7747754324</v>
      </c>
      <c r="H5" s="14" t="s">
        <v>3</v>
      </c>
      <c r="I5" s="1"/>
    </row>
    <row r="6" spans="1:9" x14ac:dyDescent="0.25">
      <c r="A6" s="1"/>
      <c r="B6" s="101" t="s">
        <v>102</v>
      </c>
      <c r="C6" s="102"/>
      <c r="D6" s="102"/>
      <c r="E6" s="102"/>
      <c r="F6" s="103"/>
      <c r="G6" s="26">
        <f>G5*'Fane 14. Nøgletal'!C17</f>
        <v>46261.11285045644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107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108</v>
      </c>
      <c r="C10" s="102"/>
      <c r="D10" s="102"/>
      <c r="E10" s="102"/>
      <c r="F10" s="103"/>
      <c r="G10" s="26">
        <f>(G5-G6)*(1+'Fane 14. Nøgletal'!C9)</f>
        <v>5101352.3582314225</v>
      </c>
      <c r="H10" s="14" t="s">
        <v>3</v>
      </c>
      <c r="I10" s="1"/>
    </row>
    <row r="11" spans="1:9" x14ac:dyDescent="0.25">
      <c r="A11" s="1"/>
      <c r="B11" s="104" t="s">
        <v>109</v>
      </c>
      <c r="C11" s="105"/>
      <c r="D11" s="105"/>
      <c r="E11" s="105"/>
      <c r="F11" s="106"/>
      <c r="G11" s="26">
        <v>0</v>
      </c>
      <c r="H11" s="14" t="s">
        <v>3</v>
      </c>
      <c r="I11" s="1"/>
    </row>
    <row r="12" spans="1:9" x14ac:dyDescent="0.25">
      <c r="A12" s="1"/>
      <c r="B12" s="101" t="s">
        <v>110</v>
      </c>
      <c r="C12" s="102"/>
      <c r="D12" s="102"/>
      <c r="E12" s="102"/>
      <c r="F12" s="103"/>
      <c r="G12" s="26">
        <f>G10*'Fane 14. Nøgletal'!C17+G11*'Fane 14. Nøgletal'!C18</f>
        <v>46422.306459905943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8" t="s">
        <v>111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101" t="s">
        <v>112</v>
      </c>
      <c r="C16" s="102"/>
      <c r="D16" s="102"/>
      <c r="E16" s="102"/>
      <c r="F16" s="103"/>
      <c r="G16" s="26">
        <f>(G10+G11-G12)*(1+'Fane 14. Nøgletal'!C11)</f>
        <v>5140358.3696464552</v>
      </c>
      <c r="H16" s="14" t="s">
        <v>3</v>
      </c>
      <c r="I16" s="1"/>
    </row>
    <row r="17" spans="1:9" x14ac:dyDescent="0.25">
      <c r="A17" s="1"/>
      <c r="B17" s="101" t="s">
        <v>223</v>
      </c>
      <c r="C17" s="102"/>
      <c r="D17" s="102"/>
      <c r="E17" s="102"/>
      <c r="F17" s="103"/>
      <c r="G17" s="26">
        <v>411279.4682196076</v>
      </c>
      <c r="H17" s="14" t="s">
        <v>3</v>
      </c>
      <c r="I17" s="1"/>
    </row>
    <row r="18" spans="1:9" x14ac:dyDescent="0.25">
      <c r="A18" s="1"/>
      <c r="B18" s="104" t="s">
        <v>113</v>
      </c>
      <c r="C18" s="105"/>
      <c r="D18" s="105"/>
      <c r="E18" s="105"/>
      <c r="F18" s="106"/>
      <c r="G18" s="26">
        <v>0</v>
      </c>
      <c r="H18" s="14" t="s">
        <v>3</v>
      </c>
      <c r="I18" s="1"/>
    </row>
    <row r="19" spans="1:9" x14ac:dyDescent="0.25">
      <c r="A19" s="1"/>
      <c r="B19" s="101" t="s">
        <v>114</v>
      </c>
      <c r="C19" s="102"/>
      <c r="D19" s="102"/>
      <c r="E19" s="102"/>
      <c r="F19" s="103"/>
      <c r="G19" s="26">
        <f>SUM(G16:G18)*'Fane 14. Nøgletal'!C19</f>
        <v>48299.24918943474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115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1" t="s">
        <v>116</v>
      </c>
      <c r="C23" s="102"/>
      <c r="D23" s="102"/>
      <c r="E23" s="102"/>
      <c r="F23" s="103"/>
      <c r="G23" s="26">
        <f>(SUM(G16:G18)-G19)*(1+'Fane 14. Nøgletal'!C11)</f>
        <v>5596345.0108252624</v>
      </c>
      <c r="H23" s="14" t="s">
        <v>3</v>
      </c>
      <c r="I23" s="1"/>
    </row>
    <row r="24" spans="1:9" x14ac:dyDescent="0.25">
      <c r="A24" s="1"/>
      <c r="B24" s="104" t="s">
        <v>117</v>
      </c>
      <c r="C24" s="105"/>
      <c r="D24" s="105"/>
      <c r="E24" s="105"/>
      <c r="F24" s="106"/>
      <c r="G24" s="26">
        <f>('Fane 2.1. Økonomisk ramme 2020'!C11+'Fane 2.1. Økonomisk ramme 2020'!C13+'Fane 2.1. Økonomisk ramme 2020'!C15+'Fane 2.1. Økonomisk ramme 2020'!C16)*(1+'Fane 14. Nøgletal'!C12)</f>
        <v>475346.41453508456</v>
      </c>
      <c r="H24" s="14" t="s">
        <v>3</v>
      </c>
      <c r="I24" s="1"/>
    </row>
    <row r="25" spans="1:9" x14ac:dyDescent="0.25">
      <c r="A25" s="1"/>
      <c r="B25" s="101" t="s">
        <v>118</v>
      </c>
      <c r="C25" s="102"/>
      <c r="D25" s="102"/>
      <c r="E25" s="102"/>
      <c r="F25" s="103"/>
      <c r="G25" s="26">
        <f>G23*'Fane 14. Nøgletal'!C19+G24*'Fane 14. Nøgletal'!C20</f>
        <v>62188.039766976181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190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1" t="s">
        <v>119</v>
      </c>
      <c r="C29" s="102"/>
      <c r="D29" s="102"/>
      <c r="E29" s="102"/>
      <c r="F29" s="103"/>
      <c r="G29" s="26">
        <f>(G23+G24-G25)*(1+'Fane 14. Nøgletal'!C12)</f>
        <v>6127890.6022895603</v>
      </c>
      <c r="H29" s="14" t="s">
        <v>3</v>
      </c>
      <c r="I29" s="1"/>
    </row>
    <row r="30" spans="1:9" x14ac:dyDescent="0.25">
      <c r="A30" s="1"/>
      <c r="B30" s="101" t="s">
        <v>151</v>
      </c>
      <c r="C30" s="102"/>
      <c r="D30" s="102"/>
      <c r="E30" s="102"/>
      <c r="F30" s="103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1" t="s">
        <v>219</v>
      </c>
      <c r="C31" s="102"/>
      <c r="D31" s="102"/>
      <c r="E31" s="102"/>
      <c r="F31" s="103"/>
      <c r="G31" s="26">
        <f>(G29+G30)*'Fane 14. Nøgletal'!C20</f>
        <v>174032.09310502352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128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1" t="s">
        <v>123</v>
      </c>
      <c r="C35" s="102"/>
      <c r="D35" s="102"/>
      <c r="E35" s="102"/>
      <c r="F35" s="103"/>
      <c r="G35" s="26">
        <f>(G29-G31)*(1+'Fane 14. Nøgletal'!C12)</f>
        <v>6071149.5218154723</v>
      </c>
      <c r="H35" s="14" t="s">
        <v>3</v>
      </c>
      <c r="I35" s="1"/>
    </row>
    <row r="36" spans="1:9" x14ac:dyDescent="0.25">
      <c r="A36" s="1"/>
      <c r="B36" s="101" t="s">
        <v>152</v>
      </c>
      <c r="C36" s="102"/>
      <c r="D36" s="102"/>
      <c r="E36" s="102"/>
      <c r="F36" s="103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1" t="s">
        <v>120</v>
      </c>
      <c r="C37" s="102"/>
      <c r="D37" s="102"/>
      <c r="E37" s="102"/>
      <c r="F37" s="103"/>
      <c r="G37" s="26">
        <f>(G35+G36)*'Fane 14. Nøgletal'!C20</f>
        <v>172420.64641955943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129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1" t="s">
        <v>122</v>
      </c>
      <c r="C41" s="102"/>
      <c r="D41" s="102"/>
      <c r="E41" s="102"/>
      <c r="F41" s="103"/>
      <c r="G41" s="26">
        <f>(G35-G37)*(1+'Fane 14. Nøgletal'!C12)</f>
        <v>6014933.8342412123</v>
      </c>
      <c r="H41" s="14" t="s">
        <v>3</v>
      </c>
      <c r="I41" s="1"/>
    </row>
    <row r="42" spans="1:9" x14ac:dyDescent="0.25">
      <c r="A42" s="1"/>
      <c r="B42" s="101" t="s">
        <v>153</v>
      </c>
      <c r="C42" s="102"/>
      <c r="D42" s="102"/>
      <c r="E42" s="102"/>
      <c r="F42" s="103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1" t="s">
        <v>121</v>
      </c>
      <c r="C43" s="102"/>
      <c r="D43" s="102"/>
      <c r="E43" s="102"/>
      <c r="F43" s="103"/>
      <c r="G43" s="26">
        <f>(G41+G42)*'Fane 14. Nøgletal'!C20</f>
        <v>170824.12089245045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XpxDlGD3BTo4/qdQOJ4DWdpx+STnxHhhsrTHhxGcgwJ1qKeAQde+UbM/ULB+GTqn3I5ONAIhErw5Fn1fWpkfQ==" saltValue="GolfosO8fuQk92FdOXWxaw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144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178</v>
      </c>
      <c r="C9" s="102"/>
      <c r="D9" s="102"/>
      <c r="E9" s="102"/>
      <c r="F9" s="103"/>
      <c r="G9" s="25">
        <v>0</v>
      </c>
      <c r="H9" s="14"/>
      <c r="I9" s="1"/>
    </row>
    <row r="10" spans="1:9" x14ac:dyDescent="0.25">
      <c r="A10" s="1"/>
      <c r="B10" s="101" t="s">
        <v>179</v>
      </c>
      <c r="C10" s="102"/>
      <c r="D10" s="102"/>
      <c r="E10" s="102"/>
      <c r="F10" s="103"/>
      <c r="G10" s="25">
        <v>1.6104335998960616E-2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8"/>
      <c r="C13" s="108"/>
      <c r="D13" s="108"/>
      <c r="E13" s="108"/>
      <c r="F13" s="108"/>
      <c r="G13" s="108"/>
      <c r="H13" s="108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TAR/Ryj0HAao1Rnzho5JAdqwoQ9JQ/p/u6R3g+HhHQOVQSNatE1bP5Jhei+NP0JIrH+A66l+elmNVlz9FK0Tw==" saltValue="VwCl80Lmr/XvBhOwTwZhY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2019-10-14T12:39:20Z</dcterms:modified>
</cp:coreProperties>
</file>